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filterPrivacy="1"/>
  <xr:revisionPtr revIDLastSave="28" documentId="8_{43E0768A-46B1-4A8A-AF4A-A2C647DE9164}" xr6:coauthVersionLast="47" xr6:coauthVersionMax="47" xr10:uidLastSave="{4EA5CB4C-F52A-4B7A-BC0A-BFC47D0BFE44}"/>
  <bookViews>
    <workbookView xWindow="-120" yWindow="-120" windowWidth="29040" windowHeight="15720" tabRatio="831" activeTab="1" xr2:uid="{00000000-000D-0000-FFFF-FFFF00000000}"/>
  </bookViews>
  <sheets>
    <sheet name="START HERE" sheetId="25" r:id="rId1"/>
    <sheet name="Detailed Budget" sheetId="24"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V50" i="24" l="1"/>
  <c r="AT50" i="24"/>
  <c r="AR50" i="24"/>
  <c r="AL50" i="24"/>
  <c r="AF50" i="24"/>
  <c r="AS50" i="24" s="1"/>
  <c r="Z50" i="24"/>
  <c r="T50" i="24"/>
  <c r="N50" i="24"/>
  <c r="H50" i="24"/>
  <c r="AT35" i="24"/>
  <c r="B26" i="24"/>
  <c r="B25" i="24"/>
  <c r="B24" i="24"/>
  <c r="B21" i="24"/>
  <c r="I1" i="24"/>
  <c r="L9" i="24"/>
  <c r="G12" i="25"/>
  <c r="F12" i="25"/>
  <c r="G11" i="25"/>
  <c r="F11" i="25"/>
  <c r="N5" i="24" l="1"/>
  <c r="E23" i="24"/>
  <c r="E22" i="24"/>
  <c r="L1" i="24"/>
  <c r="L2" i="24"/>
  <c r="L3" i="24" s="1"/>
  <c r="B99" i="24"/>
  <c r="B22" i="25" l="1"/>
  <c r="L8" i="24"/>
  <c r="L7" i="24"/>
  <c r="L6" i="24"/>
  <c r="L5" i="24"/>
  <c r="AR119" i="24" l="1"/>
  <c r="AL119" i="24"/>
  <c r="AF119" i="24"/>
  <c r="Z119" i="24"/>
  <c r="T119" i="24"/>
  <c r="N119" i="24"/>
  <c r="H119" i="24"/>
  <c r="AS119" i="24" l="1"/>
  <c r="E25" i="24" l="1"/>
  <c r="F25" i="24" s="1"/>
  <c r="E24" i="24"/>
  <c r="F24" i="24" s="1"/>
  <c r="AA91" i="24" l="1"/>
  <c r="AA87" i="24"/>
  <c r="AA83" i="24"/>
  <c r="AA79" i="24"/>
  <c r="AA75" i="24"/>
  <c r="AA71" i="24"/>
  <c r="AA67" i="24"/>
  <c r="AA63" i="24"/>
  <c r="AA59" i="24"/>
  <c r="G91" i="24"/>
  <c r="AM91" i="24"/>
  <c r="AG91" i="24"/>
  <c r="U91" i="24"/>
  <c r="O91" i="24"/>
  <c r="I91" i="24"/>
  <c r="AM87" i="24"/>
  <c r="AG87" i="24"/>
  <c r="U87" i="24"/>
  <c r="O87" i="24"/>
  <c r="I87" i="24"/>
  <c r="G87" i="24"/>
  <c r="AM83" i="24"/>
  <c r="AG83" i="24"/>
  <c r="U83" i="24"/>
  <c r="O83" i="24"/>
  <c r="I83" i="24"/>
  <c r="G83" i="24"/>
  <c r="AM79" i="24"/>
  <c r="AG79" i="24"/>
  <c r="U79" i="24"/>
  <c r="O79" i="24"/>
  <c r="I79" i="24"/>
  <c r="G79" i="24"/>
  <c r="AM75" i="24"/>
  <c r="AG75" i="24"/>
  <c r="U75" i="24"/>
  <c r="O75" i="24"/>
  <c r="I75" i="24"/>
  <c r="G75" i="24"/>
  <c r="AM71" i="24"/>
  <c r="AG71" i="24"/>
  <c r="U71" i="24"/>
  <c r="O71" i="24"/>
  <c r="I71" i="24"/>
  <c r="G71" i="24"/>
  <c r="AM67" i="24"/>
  <c r="AG67" i="24"/>
  <c r="U67" i="24"/>
  <c r="O67" i="24"/>
  <c r="I67" i="24"/>
  <c r="G67" i="24"/>
  <c r="AM63" i="24"/>
  <c r="AG63" i="24"/>
  <c r="U63" i="24"/>
  <c r="O63" i="24"/>
  <c r="I63" i="24"/>
  <c r="G63" i="24"/>
  <c r="G59" i="24"/>
  <c r="I59" i="24"/>
  <c r="O59" i="24"/>
  <c r="U59" i="24"/>
  <c r="AG59" i="24"/>
  <c r="AM59" i="24"/>
  <c r="AM55" i="24"/>
  <c r="AG55" i="24"/>
  <c r="AA55" i="24"/>
  <c r="U55" i="24"/>
  <c r="O55" i="24"/>
  <c r="I55" i="24"/>
  <c r="C55" i="24"/>
  <c r="AT93" i="24"/>
  <c r="AT92" i="24"/>
  <c r="AT91" i="24"/>
  <c r="AT89" i="24"/>
  <c r="AT88" i="24"/>
  <c r="AT87" i="24"/>
  <c r="AT85" i="24"/>
  <c r="AT84" i="24"/>
  <c r="AT83" i="24"/>
  <c r="AT81" i="24"/>
  <c r="AT80" i="24"/>
  <c r="AT79" i="24"/>
  <c r="AT77" i="24"/>
  <c r="AT76" i="24"/>
  <c r="AT75" i="24"/>
  <c r="AT73" i="24"/>
  <c r="AT72" i="24"/>
  <c r="AT71" i="24"/>
  <c r="AT69" i="24"/>
  <c r="AT68" i="24"/>
  <c r="AT67" i="24"/>
  <c r="AT65" i="24"/>
  <c r="AT64" i="24"/>
  <c r="AT63" i="24"/>
  <c r="AT61" i="24"/>
  <c r="AT60" i="24"/>
  <c r="AT59" i="24"/>
  <c r="AT57" i="24"/>
  <c r="AT56" i="24"/>
  <c r="AT55" i="24"/>
  <c r="AT43" i="24"/>
  <c r="AT44" i="24"/>
  <c r="AT45" i="24"/>
  <c r="AT46" i="24"/>
  <c r="AT47" i="24"/>
  <c r="AT48" i="24"/>
  <c r="AT49" i="24"/>
  <c r="AT51" i="24"/>
  <c r="AT52" i="24"/>
  <c r="AT42" i="24"/>
  <c r="AT36" i="24"/>
  <c r="AT37" i="24"/>
  <c r="AT38" i="24"/>
  <c r="AT39" i="24"/>
  <c r="AT32" i="24"/>
  <c r="AT31" i="24"/>
  <c r="AT26" i="24"/>
  <c r="AT25" i="24"/>
  <c r="AT24" i="24"/>
  <c r="AT23" i="24"/>
  <c r="AT22" i="24"/>
  <c r="AT21" i="24"/>
  <c r="AT20" i="24"/>
  <c r="AT19" i="24"/>
  <c r="AT18" i="24"/>
  <c r="AT17" i="24"/>
  <c r="AT16" i="24"/>
  <c r="T86" i="24"/>
  <c r="N94" i="24"/>
  <c r="AS80" i="24"/>
  <c r="AR90" i="24"/>
  <c r="AL90" i="24"/>
  <c r="AF90" i="24"/>
  <c r="Z90" i="24"/>
  <c r="T90" i="24"/>
  <c r="N90" i="24"/>
  <c r="H90" i="24"/>
  <c r="G90" i="24" s="1"/>
  <c r="AS89" i="24"/>
  <c r="AS88" i="24"/>
  <c r="AR86" i="24"/>
  <c r="AL86" i="24"/>
  <c r="AF86" i="24"/>
  <c r="Z86" i="24"/>
  <c r="N86" i="24"/>
  <c r="H86" i="24"/>
  <c r="G86" i="24" s="1"/>
  <c r="AS85" i="24"/>
  <c r="AS84" i="24"/>
  <c r="AR82" i="24"/>
  <c r="AL82" i="24"/>
  <c r="AF82" i="24"/>
  <c r="Z82" i="24"/>
  <c r="T82" i="24"/>
  <c r="N82" i="24"/>
  <c r="H82" i="24"/>
  <c r="G82" i="24" s="1"/>
  <c r="AS81" i="24"/>
  <c r="AR78" i="24"/>
  <c r="AL78" i="24"/>
  <c r="AF78" i="24"/>
  <c r="Z78" i="24"/>
  <c r="T78" i="24"/>
  <c r="N78" i="24"/>
  <c r="H78" i="24"/>
  <c r="G78" i="24" s="1"/>
  <c r="AS77" i="24"/>
  <c r="AS76" i="24"/>
  <c r="AR74" i="24"/>
  <c r="AL74" i="24"/>
  <c r="AF74" i="24"/>
  <c r="Z74" i="24"/>
  <c r="T74" i="24"/>
  <c r="N74" i="24"/>
  <c r="H74" i="24"/>
  <c r="G74" i="24" s="1"/>
  <c r="AS73" i="24"/>
  <c r="AS72" i="24"/>
  <c r="AR49" i="24"/>
  <c r="AR43" i="24"/>
  <c r="AR44" i="24"/>
  <c r="AR45" i="24"/>
  <c r="AR46" i="24"/>
  <c r="AR47" i="24"/>
  <c r="AR48" i="24"/>
  <c r="AR51" i="24"/>
  <c r="AR52" i="24"/>
  <c r="AR42" i="24"/>
  <c r="AL49" i="24"/>
  <c r="AL43" i="24"/>
  <c r="AL44" i="24"/>
  <c r="AL45" i="24"/>
  <c r="AL46" i="24"/>
  <c r="AL47" i="24"/>
  <c r="AL48" i="24"/>
  <c r="AL51" i="24"/>
  <c r="AL52" i="24"/>
  <c r="AL42" i="24"/>
  <c r="AL36" i="24"/>
  <c r="AL37" i="24"/>
  <c r="AL38" i="24"/>
  <c r="AL39" i="24"/>
  <c r="AL35" i="24"/>
  <c r="AR38" i="24"/>
  <c r="AR36" i="24"/>
  <c r="AR37" i="24"/>
  <c r="AR39" i="24"/>
  <c r="AR35" i="24"/>
  <c r="AO18" i="24"/>
  <c r="AO20" i="24"/>
  <c r="AO21" i="24"/>
  <c r="AP21" i="24" s="1"/>
  <c r="AO22" i="24"/>
  <c r="AP22" i="24" s="1"/>
  <c r="AO23" i="24"/>
  <c r="AP23" i="24" s="1"/>
  <c r="AO24" i="24"/>
  <c r="AP24" i="24" s="1"/>
  <c r="AO25" i="24"/>
  <c r="AP25" i="24" s="1"/>
  <c r="AO26" i="24"/>
  <c r="AP26" i="24" s="1"/>
  <c r="AO16" i="24"/>
  <c r="AI16" i="24"/>
  <c r="AJ16" i="24" s="1"/>
  <c r="AS93" i="24"/>
  <c r="AS92" i="24"/>
  <c r="AS69" i="24"/>
  <c r="AS68" i="24"/>
  <c r="AS65" i="24"/>
  <c r="AS64" i="24"/>
  <c r="AS61" i="24"/>
  <c r="AS60" i="24"/>
  <c r="AS56" i="24"/>
  <c r="AS57" i="24"/>
  <c r="AS32" i="24"/>
  <c r="AS31" i="24"/>
  <c r="AS30" i="24"/>
  <c r="AM113" i="24"/>
  <c r="AN113" i="24" s="1"/>
  <c r="AM112" i="24"/>
  <c r="AN112" i="24" s="1"/>
  <c r="AM111" i="24"/>
  <c r="AN111" i="24" s="1"/>
  <c r="AR94" i="24"/>
  <c r="AR70" i="24"/>
  <c r="AR66" i="24"/>
  <c r="AR62" i="24"/>
  <c r="AR58" i="24"/>
  <c r="AR33" i="24"/>
  <c r="AN26" i="24"/>
  <c r="AN25" i="24"/>
  <c r="AN24" i="24"/>
  <c r="AN23" i="24"/>
  <c r="AN22" i="24"/>
  <c r="AN21" i="24"/>
  <c r="AN20" i="24"/>
  <c r="AN19" i="24"/>
  <c r="AN18" i="24"/>
  <c r="AN17" i="24"/>
  <c r="AN16" i="24"/>
  <c r="M74" i="24" l="1"/>
  <c r="S74" i="24" s="1"/>
  <c r="Y74" i="24" s="1"/>
  <c r="AE74" i="24" s="1"/>
  <c r="AK74" i="24" s="1"/>
  <c r="AQ74" i="24" s="1"/>
  <c r="AS90" i="24"/>
  <c r="AS94" i="24"/>
  <c r="M86" i="24"/>
  <c r="S86" i="24" s="1"/>
  <c r="Y86" i="24" s="1"/>
  <c r="AE86" i="24" s="1"/>
  <c r="AK86" i="24" s="1"/>
  <c r="AQ86" i="24" s="1"/>
  <c r="AO113" i="24"/>
  <c r="AP20" i="24"/>
  <c r="AO112" i="24"/>
  <c r="AP18" i="24"/>
  <c r="AO111" i="24"/>
  <c r="AP16" i="24"/>
  <c r="M90" i="24"/>
  <c r="S90" i="24" s="1"/>
  <c r="Y90" i="24" s="1"/>
  <c r="AE90" i="24" s="1"/>
  <c r="AK90" i="24" s="1"/>
  <c r="AQ90" i="24" s="1"/>
  <c r="M78" i="24"/>
  <c r="S78" i="24" s="1"/>
  <c r="Y78" i="24" s="1"/>
  <c r="AE78" i="24" s="1"/>
  <c r="AK78" i="24" s="1"/>
  <c r="AQ78" i="24" s="1"/>
  <c r="M82" i="24"/>
  <c r="S82" i="24" s="1"/>
  <c r="Y82" i="24" s="1"/>
  <c r="AE82" i="24" s="1"/>
  <c r="AK82" i="24" s="1"/>
  <c r="AQ82" i="24" s="1"/>
  <c r="AS74" i="24"/>
  <c r="AS86" i="24"/>
  <c r="AS82" i="24"/>
  <c r="AS66" i="24"/>
  <c r="AS78" i="24"/>
  <c r="AS70" i="24"/>
  <c r="AS62" i="24"/>
  <c r="AS33" i="24"/>
  <c r="AS58" i="24"/>
  <c r="AR40" i="24"/>
  <c r="AR53" i="24"/>
  <c r="N43" i="24"/>
  <c r="N44" i="24"/>
  <c r="N45" i="24"/>
  <c r="N46" i="24"/>
  <c r="N47" i="24"/>
  <c r="N48" i="24"/>
  <c r="N49" i="24"/>
  <c r="N51" i="24"/>
  <c r="N52" i="24"/>
  <c r="N42" i="24"/>
  <c r="N36" i="24"/>
  <c r="N37" i="24"/>
  <c r="N38" i="24"/>
  <c r="N39" i="24"/>
  <c r="N35" i="24"/>
  <c r="K16" i="24"/>
  <c r="L16" i="24" s="1"/>
  <c r="AP113" i="24" l="1"/>
  <c r="AQ113" i="24" s="1"/>
  <c r="AR113" i="24" s="1"/>
  <c r="E26" i="24"/>
  <c r="F26" i="24" s="1"/>
  <c r="A112" i="24"/>
  <c r="AT112" i="24" s="1"/>
  <c r="A113" i="24"/>
  <c r="AT113" i="24" s="1"/>
  <c r="A111" i="24"/>
  <c r="AT111" i="24" s="1"/>
  <c r="AG113" i="24"/>
  <c r="AH113" i="24" s="1"/>
  <c r="AG112" i="24"/>
  <c r="AH112" i="24" s="1"/>
  <c r="AG111" i="24"/>
  <c r="AH111" i="24" s="1"/>
  <c r="AL94" i="24"/>
  <c r="AL70" i="24"/>
  <c r="AL66" i="24"/>
  <c r="AL62" i="24"/>
  <c r="AL58" i="24"/>
  <c r="AL33" i="24"/>
  <c r="AH26" i="24"/>
  <c r="AH25" i="24"/>
  <c r="AH24" i="24"/>
  <c r="AH23" i="24"/>
  <c r="AH22" i="24"/>
  <c r="AH21" i="24"/>
  <c r="AH20" i="24"/>
  <c r="AH19" i="24"/>
  <c r="AH18" i="24"/>
  <c r="AH17" i="24"/>
  <c r="AH16" i="24"/>
  <c r="AA111" i="24"/>
  <c r="AB111" i="24" s="1"/>
  <c r="AA113" i="24"/>
  <c r="AB113" i="24" s="1"/>
  <c r="AA112" i="24"/>
  <c r="AB112" i="24" s="1"/>
  <c r="U113" i="24"/>
  <c r="V113" i="24" s="1"/>
  <c r="U112" i="24"/>
  <c r="V112" i="24" s="1"/>
  <c r="U111" i="24"/>
  <c r="V111" i="24" s="1"/>
  <c r="O113" i="24"/>
  <c r="P113" i="24" s="1"/>
  <c r="O112" i="24"/>
  <c r="P112" i="24" s="1"/>
  <c r="O111" i="24"/>
  <c r="P111" i="24" s="1"/>
  <c r="I112" i="24"/>
  <c r="J112" i="24" s="1"/>
  <c r="I113" i="24"/>
  <c r="J113" i="24" s="1"/>
  <c r="I111" i="24"/>
  <c r="J111" i="24" s="1"/>
  <c r="B112" i="24"/>
  <c r="C112" i="24"/>
  <c r="D112" i="24" s="1"/>
  <c r="B113" i="24"/>
  <c r="C113" i="24"/>
  <c r="D113" i="24" s="1"/>
  <c r="C111" i="24"/>
  <c r="D111" i="24" s="1"/>
  <c r="B111" i="24"/>
  <c r="E111" i="24" s="1"/>
  <c r="K21" i="24" l="1"/>
  <c r="L21" i="24" s="1"/>
  <c r="E21" i="24"/>
  <c r="F21" i="24" s="1"/>
  <c r="K112" i="24"/>
  <c r="K111" i="24"/>
  <c r="E113" i="24"/>
  <c r="K113" i="24"/>
  <c r="E112" i="24"/>
  <c r="K18" i="24"/>
  <c r="L18" i="24" s="1"/>
  <c r="K20" i="24"/>
  <c r="L20" i="24" s="1"/>
  <c r="K22" i="24"/>
  <c r="L22" i="24" s="1"/>
  <c r="K23" i="24"/>
  <c r="L23" i="24" s="1"/>
  <c r="K24" i="24"/>
  <c r="L24" i="24" s="1"/>
  <c r="K25" i="24"/>
  <c r="L25" i="24" s="1"/>
  <c r="K26" i="24"/>
  <c r="L26" i="24" s="1"/>
  <c r="E16" i="24"/>
  <c r="F16" i="24" s="1"/>
  <c r="G16" i="24" s="1"/>
  <c r="F23" i="24"/>
  <c r="F22" i="24"/>
  <c r="E20" i="24"/>
  <c r="F20" i="24" s="1"/>
  <c r="E18" i="24"/>
  <c r="F18" i="24" s="1"/>
  <c r="AF70" i="24" l="1"/>
  <c r="Z70" i="24"/>
  <c r="T70" i="24"/>
  <c r="N70" i="24"/>
  <c r="H70" i="24"/>
  <c r="H49" i="24"/>
  <c r="H46" i="24"/>
  <c r="H48" i="24"/>
  <c r="M26" i="24"/>
  <c r="G70" i="24" l="1"/>
  <c r="M70" i="24" s="1"/>
  <c r="S70" i="24" s="1"/>
  <c r="Y70" i="24" s="1"/>
  <c r="L113" i="24"/>
  <c r="M113" i="24" s="1"/>
  <c r="N113" i="24" s="1"/>
  <c r="G23" i="24"/>
  <c r="AE70" i="24" l="1"/>
  <c r="AK70" i="24" s="1"/>
  <c r="AQ70" i="24" s="1"/>
  <c r="F113" i="24"/>
  <c r="G113" i="24" s="1"/>
  <c r="H113" i="24" s="1"/>
  <c r="AP111" i="24"/>
  <c r="AF94" i="24"/>
  <c r="Z94" i="24"/>
  <c r="T94" i="24"/>
  <c r="H94" i="24"/>
  <c r="G94" i="24" s="1"/>
  <c r="AF66" i="24"/>
  <c r="Z66" i="24"/>
  <c r="T66" i="24"/>
  <c r="N66" i="24"/>
  <c r="H66" i="24"/>
  <c r="AF62" i="24"/>
  <c r="Z62" i="24"/>
  <c r="T62" i="24"/>
  <c r="N62" i="24"/>
  <c r="H62" i="24"/>
  <c r="AF58" i="24"/>
  <c r="Z58" i="24"/>
  <c r="T58" i="24"/>
  <c r="N58" i="24"/>
  <c r="H58" i="24"/>
  <c r="H52" i="24"/>
  <c r="H51" i="24"/>
  <c r="H47" i="24"/>
  <c r="H45" i="24"/>
  <c r="H44" i="24"/>
  <c r="H43" i="24"/>
  <c r="H42" i="24"/>
  <c r="H39" i="24"/>
  <c r="H38" i="24"/>
  <c r="H37" i="24"/>
  <c r="H36" i="24"/>
  <c r="H35" i="24"/>
  <c r="AF33" i="24"/>
  <c r="Z33" i="24"/>
  <c r="T33" i="24"/>
  <c r="N33" i="24"/>
  <c r="H33" i="24"/>
  <c r="AB26" i="24"/>
  <c r="V26" i="24"/>
  <c r="P26" i="24"/>
  <c r="J26" i="24"/>
  <c r="G26" i="24"/>
  <c r="H26" i="24" s="1"/>
  <c r="D26" i="24"/>
  <c r="AB25" i="24"/>
  <c r="V25" i="24"/>
  <c r="P25" i="24"/>
  <c r="J25" i="24"/>
  <c r="D25" i="24"/>
  <c r="AB24" i="24"/>
  <c r="V24" i="24"/>
  <c r="P24" i="24"/>
  <c r="J24" i="24"/>
  <c r="D24" i="24"/>
  <c r="AB23" i="24"/>
  <c r="V23" i="24"/>
  <c r="P23" i="24"/>
  <c r="J23" i="24"/>
  <c r="D23" i="24"/>
  <c r="AB22" i="24"/>
  <c r="V22" i="24"/>
  <c r="P22" i="24"/>
  <c r="J22" i="24"/>
  <c r="D22" i="24"/>
  <c r="AB21" i="24"/>
  <c r="V21" i="24"/>
  <c r="P21" i="24"/>
  <c r="J21" i="24"/>
  <c r="G21" i="24"/>
  <c r="D21" i="24"/>
  <c r="AB20" i="24"/>
  <c r="V20" i="24"/>
  <c r="P20" i="24"/>
  <c r="M20" i="24"/>
  <c r="N20" i="24" s="1"/>
  <c r="J20" i="24"/>
  <c r="G20" i="24"/>
  <c r="H20" i="24" s="1"/>
  <c r="D20" i="24"/>
  <c r="AB19" i="24"/>
  <c r="V19" i="24"/>
  <c r="P19" i="24"/>
  <c r="J19" i="24"/>
  <c r="D19" i="24"/>
  <c r="B19" i="24"/>
  <c r="AO19" i="24" s="1"/>
  <c r="AP19" i="24" s="1"/>
  <c r="AB18" i="24"/>
  <c r="V18" i="24"/>
  <c r="P18" i="24"/>
  <c r="J18" i="24"/>
  <c r="D18" i="24"/>
  <c r="AB17" i="24"/>
  <c r="V17" i="24"/>
  <c r="P17" i="24"/>
  <c r="J17" i="24"/>
  <c r="D17" i="24"/>
  <c r="B17" i="24"/>
  <c r="AO17" i="24" s="1"/>
  <c r="AP17" i="24" s="1"/>
  <c r="AB16" i="24"/>
  <c r="V16" i="24"/>
  <c r="P16" i="24"/>
  <c r="J16" i="24"/>
  <c r="D16" i="24"/>
  <c r="T11" i="24"/>
  <c r="T48" i="24" l="1"/>
  <c r="T51" i="24"/>
  <c r="T52" i="24"/>
  <c r="T38" i="24"/>
  <c r="T49" i="24"/>
  <c r="T39" i="24"/>
  <c r="T35" i="24"/>
  <c r="Q16" i="24"/>
  <c r="R16" i="24" s="1"/>
  <c r="S16" i="24" s="1"/>
  <c r="T16" i="24" s="1"/>
  <c r="T46" i="24"/>
  <c r="T47" i="24"/>
  <c r="T37" i="24"/>
  <c r="T42" i="24"/>
  <c r="T36" i="24"/>
  <c r="T43" i="24"/>
  <c r="T44" i="24"/>
  <c r="T45" i="24"/>
  <c r="M94" i="24"/>
  <c r="G58" i="24"/>
  <c r="M58" i="24" s="1"/>
  <c r="S58" i="24" s="1"/>
  <c r="Y58" i="24" s="1"/>
  <c r="AE58" i="24" s="1"/>
  <c r="AK58" i="24" s="1"/>
  <c r="AQ58" i="24" s="1"/>
  <c r="G66" i="24"/>
  <c r="M66" i="24" s="1"/>
  <c r="S66" i="24" s="1"/>
  <c r="Y66" i="24" s="1"/>
  <c r="AP112" i="24"/>
  <c r="F112" i="24"/>
  <c r="Q111" i="24"/>
  <c r="Q112" i="24"/>
  <c r="Q26" i="24"/>
  <c r="R26" i="24" s="1"/>
  <c r="Q18" i="24"/>
  <c r="R18" i="24" s="1"/>
  <c r="Q20" i="24"/>
  <c r="R20" i="24" s="1"/>
  <c r="Q23" i="24"/>
  <c r="R23" i="24" s="1"/>
  <c r="S23" i="24" s="1"/>
  <c r="Q113" i="24"/>
  <c r="Q21" i="24"/>
  <c r="R21" i="24" s="1"/>
  <c r="Q24" i="24"/>
  <c r="R24" i="24" s="1"/>
  <c r="Q22" i="24"/>
  <c r="R22" i="24" s="1"/>
  <c r="S22" i="24" s="1"/>
  <c r="T22" i="24" s="1"/>
  <c r="Q25" i="24"/>
  <c r="R25" i="24" s="1"/>
  <c r="Q19" i="24"/>
  <c r="R19" i="24" s="1"/>
  <c r="K19" i="24"/>
  <c r="L19" i="24" s="1"/>
  <c r="E19" i="24"/>
  <c r="F19" i="24" s="1"/>
  <c r="E17" i="24"/>
  <c r="F17" i="24" s="1"/>
  <c r="G17" i="24" s="1"/>
  <c r="H17" i="24" s="1"/>
  <c r="K17" i="24"/>
  <c r="L17" i="24" s="1"/>
  <c r="Q17" i="24"/>
  <c r="R17" i="24" s="1"/>
  <c r="H53" i="24"/>
  <c r="G24" i="24"/>
  <c r="H24" i="24" s="1"/>
  <c r="L112" i="24"/>
  <c r="M112" i="24" s="1"/>
  <c r="N112" i="24" s="1"/>
  <c r="F111" i="24"/>
  <c r="G25" i="24"/>
  <c r="H25" i="24" s="1"/>
  <c r="M25" i="24"/>
  <c r="N53" i="24"/>
  <c r="N40" i="24"/>
  <c r="H40" i="24"/>
  <c r="H21" i="24"/>
  <c r="G22" i="24"/>
  <c r="H22" i="24" s="1"/>
  <c r="G62" i="24"/>
  <c r="M62" i="24" s="1"/>
  <c r="Z11" i="24"/>
  <c r="Z46" i="24" s="1"/>
  <c r="M21" i="24"/>
  <c r="N21" i="24" s="1"/>
  <c r="H23" i="24"/>
  <c r="M22" i="24"/>
  <c r="N22" i="24" s="1"/>
  <c r="M23" i="24"/>
  <c r="R113" i="24" l="1"/>
  <c r="S113" i="24" s="1"/>
  <c r="T113" i="24" s="1"/>
  <c r="Z47" i="24"/>
  <c r="Z36" i="24"/>
  <c r="Z35" i="24"/>
  <c r="Z37" i="24"/>
  <c r="Z49" i="24"/>
  <c r="Z48" i="24"/>
  <c r="Z45" i="24"/>
  <c r="W16" i="24"/>
  <c r="X16" i="24" s="1"/>
  <c r="Z42" i="24"/>
  <c r="Z43" i="24"/>
  <c r="Z51" i="24"/>
  <c r="Z44" i="24"/>
  <c r="Z38" i="24"/>
  <c r="Z52" i="24"/>
  <c r="Z39" i="24"/>
  <c r="R111" i="24"/>
  <c r="S111" i="24" s="1"/>
  <c r="T111" i="24" s="1"/>
  <c r="AE66" i="24"/>
  <c r="AK66" i="24" s="1"/>
  <c r="AQ66" i="24" s="1"/>
  <c r="AQ112" i="24"/>
  <c r="AR112" i="24" s="1"/>
  <c r="AQ111" i="24"/>
  <c r="AR111" i="24" s="1"/>
  <c r="W19" i="24"/>
  <c r="X19" i="24" s="1"/>
  <c r="Y19" i="24" s="1"/>
  <c r="Z19" i="24" s="1"/>
  <c r="W112" i="24"/>
  <c r="W24" i="24"/>
  <c r="X24" i="24" s="1"/>
  <c r="Y24" i="24" s="1"/>
  <c r="Z24" i="24" s="1"/>
  <c r="W111" i="24"/>
  <c r="AF11" i="24"/>
  <c r="AF44" i="24" s="1"/>
  <c r="W23" i="24"/>
  <c r="X23" i="24" s="1"/>
  <c r="Y23" i="24" s="1"/>
  <c r="Z23" i="24" s="1"/>
  <c r="AC21" i="24"/>
  <c r="AD21" i="24" s="1"/>
  <c r="W25" i="24"/>
  <c r="X25" i="24" s="1"/>
  <c r="Y25" i="24" s="1"/>
  <c r="Z25" i="24" s="1"/>
  <c r="W113" i="24"/>
  <c r="W17" i="24"/>
  <c r="X17" i="24" s="1"/>
  <c r="Y17" i="24" s="1"/>
  <c r="Z17" i="24" s="1"/>
  <c r="W21" i="24"/>
  <c r="X21" i="24" s="1"/>
  <c r="W26" i="24"/>
  <c r="X26" i="24" s="1"/>
  <c r="Y26" i="24" s="1"/>
  <c r="Z26" i="24" s="1"/>
  <c r="W22" i="24"/>
  <c r="X22" i="24" s="1"/>
  <c r="Y22" i="24" s="1"/>
  <c r="Z22" i="24" s="1"/>
  <c r="AI20" i="24"/>
  <c r="W20" i="24"/>
  <c r="X20" i="24" s="1"/>
  <c r="Y20" i="24" s="1"/>
  <c r="Z20" i="24" s="1"/>
  <c r="W18" i="24"/>
  <c r="X18" i="24" s="1"/>
  <c r="AI111" i="24"/>
  <c r="AI22" i="24"/>
  <c r="AJ22" i="24" s="1"/>
  <c r="AI23" i="24"/>
  <c r="AJ23" i="24" s="1"/>
  <c r="AI21" i="24"/>
  <c r="AJ21" i="24" s="1"/>
  <c r="AI17" i="24"/>
  <c r="AI25" i="24"/>
  <c r="AJ25" i="24" s="1"/>
  <c r="G112" i="24"/>
  <c r="H112" i="24" s="1"/>
  <c r="R112" i="24"/>
  <c r="S112" i="24" s="1"/>
  <c r="T112" i="24" s="1"/>
  <c r="M16" i="24"/>
  <c r="N16" i="24" s="1"/>
  <c r="L111" i="24"/>
  <c r="M111" i="24" s="1"/>
  <c r="N111" i="24" s="1"/>
  <c r="H16" i="24"/>
  <c r="G111" i="24"/>
  <c r="H111" i="24" s="1"/>
  <c r="T53" i="24"/>
  <c r="F27" i="24"/>
  <c r="S62" i="24"/>
  <c r="S20" i="24"/>
  <c r="T20" i="24" s="1"/>
  <c r="T40" i="24"/>
  <c r="S21" i="24"/>
  <c r="T21" i="24" s="1"/>
  <c r="S19" i="24"/>
  <c r="T19" i="24" s="1"/>
  <c r="N26" i="24"/>
  <c r="G19" i="24"/>
  <c r="H19" i="24" s="1"/>
  <c r="T23" i="24"/>
  <c r="S26" i="24"/>
  <c r="T26" i="24" s="1"/>
  <c r="M17" i="24"/>
  <c r="S25" i="24"/>
  <c r="T25" i="24" s="1"/>
  <c r="S17" i="24"/>
  <c r="S18" i="24"/>
  <c r="T18" i="24" s="1"/>
  <c r="R27" i="24"/>
  <c r="M24" i="24"/>
  <c r="N24" i="24" s="1"/>
  <c r="L27" i="24"/>
  <c r="M19" i="24"/>
  <c r="N19" i="24" s="1"/>
  <c r="G18" i="24"/>
  <c r="N23" i="24"/>
  <c r="S24" i="24"/>
  <c r="T24" i="24" s="1"/>
  <c r="M18" i="24"/>
  <c r="N18" i="24" s="1"/>
  <c r="N25" i="24"/>
  <c r="AI113" i="24" l="1"/>
  <c r="AJ20" i="24"/>
  <c r="AJ17" i="24"/>
  <c r="X113" i="24"/>
  <c r="Y113" i="24" s="1"/>
  <c r="Z113" i="24" s="1"/>
  <c r="X111" i="24"/>
  <c r="Y111" i="24" s="1"/>
  <c r="Z111" i="24" s="1"/>
  <c r="AC20" i="24"/>
  <c r="AD20" i="24" s="1"/>
  <c r="AE20" i="24" s="1"/>
  <c r="AF20" i="24" s="1"/>
  <c r="AC113" i="24"/>
  <c r="AS44" i="24"/>
  <c r="AF42" i="24"/>
  <c r="AS42" i="24" s="1"/>
  <c r="AF36" i="24"/>
  <c r="AS36" i="24" s="1"/>
  <c r="AF38" i="24"/>
  <c r="AS38" i="24" s="1"/>
  <c r="AC17" i="24"/>
  <c r="AD17" i="24" s="1"/>
  <c r="AF51" i="24"/>
  <c r="AS51" i="24" s="1"/>
  <c r="AC25" i="24"/>
  <c r="AD25" i="24" s="1"/>
  <c r="AE25" i="24" s="1"/>
  <c r="AF25" i="24" s="1"/>
  <c r="AF48" i="24"/>
  <c r="AS48" i="24" s="1"/>
  <c r="AF52" i="24"/>
  <c r="AS52" i="24" s="1"/>
  <c r="AF47" i="24"/>
  <c r="AS47" i="24" s="1"/>
  <c r="AF46" i="24"/>
  <c r="AS46" i="24" s="1"/>
  <c r="AC16" i="24"/>
  <c r="AD16" i="24" s="1"/>
  <c r="AF39" i="24"/>
  <c r="AS39" i="24" s="1"/>
  <c r="AF45" i="24"/>
  <c r="AS45" i="24" s="1"/>
  <c r="AF37" i="24"/>
  <c r="AS37" i="24" s="1"/>
  <c r="AC22" i="24"/>
  <c r="AD22" i="24" s="1"/>
  <c r="AE22" i="24" s="1"/>
  <c r="AF22" i="24" s="1"/>
  <c r="AF43" i="24"/>
  <c r="AS43" i="24" s="1"/>
  <c r="AF49" i="24"/>
  <c r="AS49" i="24" s="1"/>
  <c r="AC26" i="24"/>
  <c r="AD26" i="24" s="1"/>
  <c r="AC19" i="24"/>
  <c r="AD19" i="24" s="1"/>
  <c r="AE19" i="24" s="1"/>
  <c r="AF19" i="24" s="1"/>
  <c r="AF35" i="24"/>
  <c r="AS35" i="24" s="1"/>
  <c r="S94" i="24"/>
  <c r="AJ111" i="24"/>
  <c r="AK111" i="24" s="1"/>
  <c r="AL111" i="24" s="1"/>
  <c r="AL11" i="24"/>
  <c r="AI18" i="24"/>
  <c r="AC111" i="24"/>
  <c r="AC24" i="24"/>
  <c r="AD24" i="24" s="1"/>
  <c r="AI24" i="24"/>
  <c r="AJ24" i="24" s="1"/>
  <c r="AC23" i="24"/>
  <c r="AD23" i="24" s="1"/>
  <c r="AE23" i="24" s="1"/>
  <c r="AC18" i="24"/>
  <c r="AD18" i="24" s="1"/>
  <c r="AC112" i="24"/>
  <c r="AI19" i="24"/>
  <c r="Y18" i="24"/>
  <c r="Z18" i="24" s="1"/>
  <c r="X112" i="24"/>
  <c r="Y112" i="24" s="1"/>
  <c r="Z112" i="24" s="1"/>
  <c r="G27" i="24"/>
  <c r="H18" i="24"/>
  <c r="H27" i="24" s="1"/>
  <c r="H98" i="24" s="1"/>
  <c r="M27" i="24"/>
  <c r="S27" i="24"/>
  <c r="X27" i="24"/>
  <c r="Y16" i="24"/>
  <c r="Z16" i="24" s="1"/>
  <c r="Y62" i="24"/>
  <c r="AE62" i="24" s="1"/>
  <c r="AK62" i="24" s="1"/>
  <c r="AQ62" i="24" s="1"/>
  <c r="Y21" i="24"/>
  <c r="Z21" i="24" s="1"/>
  <c r="Z40" i="24"/>
  <c r="Z53" i="24"/>
  <c r="N17" i="24"/>
  <c r="T17" i="24"/>
  <c r="T27" i="24" s="1"/>
  <c r="T96" i="24" l="1"/>
  <c r="T97" i="24" s="1"/>
  <c r="T124" i="24" s="1"/>
  <c r="T98" i="24"/>
  <c r="T99" i="24" s="1"/>
  <c r="AI112" i="24"/>
  <c r="AJ18" i="24"/>
  <c r="AK18" i="24" s="1"/>
  <c r="AL18" i="24" s="1"/>
  <c r="AJ19" i="24"/>
  <c r="AK19" i="24" s="1"/>
  <c r="AL19" i="24" s="1"/>
  <c r="AJ113" i="24"/>
  <c r="AK113" i="24" s="1"/>
  <c r="AL113" i="24" s="1"/>
  <c r="AD113" i="24"/>
  <c r="AE113" i="24" s="1"/>
  <c r="AF113" i="24" s="1"/>
  <c r="AD112" i="24"/>
  <c r="AE112" i="24" s="1"/>
  <c r="AF112" i="24" s="1"/>
  <c r="AK17" i="24"/>
  <c r="AL17" i="24" s="1"/>
  <c r="AS53" i="24"/>
  <c r="AD111" i="24"/>
  <c r="AE111" i="24" s="1"/>
  <c r="AF111" i="24" s="1"/>
  <c r="AS111" i="24" s="1"/>
  <c r="H96" i="24"/>
  <c r="Y94" i="24"/>
  <c r="AK16" i="24"/>
  <c r="AL16" i="24" s="1"/>
  <c r="AK20" i="24"/>
  <c r="AL20" i="24" s="1"/>
  <c r="AI26" i="24"/>
  <c r="AJ26" i="24" s="1"/>
  <c r="AK26" i="24" s="1"/>
  <c r="AL26" i="24" s="1"/>
  <c r="AR11" i="24"/>
  <c r="AK21" i="24"/>
  <c r="AL21" i="24" s="1"/>
  <c r="AK22" i="24"/>
  <c r="AL22" i="24" s="1"/>
  <c r="AK23" i="24"/>
  <c r="AL23" i="24" s="1"/>
  <c r="AK25" i="24"/>
  <c r="AL25" i="24" s="1"/>
  <c r="AK24" i="24"/>
  <c r="AL24" i="24" s="1"/>
  <c r="AL53" i="24"/>
  <c r="AL40" i="24"/>
  <c r="N27" i="24"/>
  <c r="N98" i="24" s="1"/>
  <c r="Z27" i="24"/>
  <c r="AE24" i="24"/>
  <c r="AF24" i="24" s="1"/>
  <c r="AF53" i="24"/>
  <c r="AE26" i="24"/>
  <c r="AF26" i="24" s="1"/>
  <c r="AE18" i="24"/>
  <c r="AF18" i="24" s="1"/>
  <c r="AF40" i="24"/>
  <c r="Y27" i="24"/>
  <c r="AE16" i="24"/>
  <c r="AD27" i="24"/>
  <c r="AF23" i="24"/>
  <c r="AE17" i="24"/>
  <c r="AF17" i="24" s="1"/>
  <c r="AE21" i="24"/>
  <c r="AF21" i="24" s="1"/>
  <c r="Z96" i="24" l="1"/>
  <c r="Z97" i="24" s="1"/>
  <c r="Z124" i="24" s="1"/>
  <c r="Z98" i="24"/>
  <c r="Z99" i="24" s="1"/>
  <c r="AS113" i="24"/>
  <c r="AJ112" i="24"/>
  <c r="AK112" i="24" s="1"/>
  <c r="AL112" i="24" s="1"/>
  <c r="AS112" i="24" s="1"/>
  <c r="H99" i="24"/>
  <c r="H100" i="24" s="1"/>
  <c r="H97" i="24"/>
  <c r="H124" i="24" s="1"/>
  <c r="H125" i="24"/>
  <c r="T125" i="24"/>
  <c r="T118" i="24"/>
  <c r="T120" i="24"/>
  <c r="N96" i="24"/>
  <c r="AE94" i="24"/>
  <c r="AQ22" i="24"/>
  <c r="AR22" i="24" s="1"/>
  <c r="AS22" i="24" s="1"/>
  <c r="AQ19" i="24"/>
  <c r="AR19" i="24" s="1"/>
  <c r="AS19" i="24" s="1"/>
  <c r="AQ23" i="24"/>
  <c r="AR23" i="24" s="1"/>
  <c r="AS23" i="24" s="1"/>
  <c r="AQ25" i="24"/>
  <c r="AR25" i="24" s="1"/>
  <c r="AS25" i="24" s="1"/>
  <c r="AQ17" i="24"/>
  <c r="AR17" i="24" s="1"/>
  <c r="AS17" i="24" s="1"/>
  <c r="AQ24" i="24"/>
  <c r="AR24" i="24" s="1"/>
  <c r="AS24" i="24" s="1"/>
  <c r="AQ20" i="24"/>
  <c r="AQ21" i="24"/>
  <c r="AR21" i="24" s="1"/>
  <c r="AS21" i="24" s="1"/>
  <c r="AS40" i="24"/>
  <c r="AJ27" i="24"/>
  <c r="AQ26" i="24"/>
  <c r="AR26" i="24" s="1"/>
  <c r="AS26" i="24" s="1"/>
  <c r="AV49" i="24"/>
  <c r="AV51" i="24" s="1"/>
  <c r="AK27" i="24"/>
  <c r="AE27" i="24"/>
  <c r="AF16" i="24"/>
  <c r="N99" i="24" l="1"/>
  <c r="N100" i="24" s="1"/>
  <c r="T121" i="24"/>
  <c r="T122" i="24" s="1"/>
  <c r="T123" i="24" s="1"/>
  <c r="N97" i="24"/>
  <c r="N124" i="24" s="1"/>
  <c r="N125" i="24"/>
  <c r="Z125" i="24"/>
  <c r="Z118" i="24"/>
  <c r="Z120" i="24"/>
  <c r="AK94" i="24"/>
  <c r="AQ18" i="24"/>
  <c r="AR18" i="24" s="1"/>
  <c r="AS18" i="24" s="1"/>
  <c r="AQ16" i="24"/>
  <c r="AR16" i="24" s="1"/>
  <c r="AS16" i="24" s="1"/>
  <c r="AP27" i="24"/>
  <c r="AS28" i="24" s="1"/>
  <c r="AR20" i="24"/>
  <c r="AS20" i="24" s="1"/>
  <c r="AL27" i="24"/>
  <c r="Z100" i="24"/>
  <c r="AF27" i="24"/>
  <c r="T100" i="24"/>
  <c r="AL96" i="24" l="1"/>
  <c r="AL97" i="24" s="1"/>
  <c r="AL124" i="24" s="1"/>
  <c r="AL98" i="24"/>
  <c r="AL99" i="24" s="1"/>
  <c r="AF96" i="24"/>
  <c r="AF97" i="24" s="1"/>
  <c r="AF124" i="24" s="1"/>
  <c r="AF98" i="24"/>
  <c r="AF99" i="24" s="1"/>
  <c r="Z121" i="24"/>
  <c r="Z122" i="24" s="1"/>
  <c r="Z123" i="24" s="1"/>
  <c r="N118" i="24"/>
  <c r="N120" i="24"/>
  <c r="N121" i="24" s="1"/>
  <c r="N122" i="24" s="1"/>
  <c r="N123" i="24" s="1"/>
  <c r="AQ94" i="24"/>
  <c r="AQ27" i="24"/>
  <c r="AS29" i="24" s="1"/>
  <c r="AS27" i="24"/>
  <c r="AR27" i="24"/>
  <c r="AR96" i="24" l="1"/>
  <c r="AR97" i="24" s="1"/>
  <c r="AR124" i="24" s="1"/>
  <c r="AR98" i="24"/>
  <c r="AR99" i="24" s="1"/>
  <c r="AF118" i="24"/>
  <c r="AF120" i="24"/>
  <c r="AL125" i="24"/>
  <c r="AL118" i="24"/>
  <c r="AL120" i="24"/>
  <c r="AF125" i="24"/>
  <c r="AR125" i="24" l="1"/>
  <c r="AF121" i="24"/>
  <c r="AF122" i="24" s="1"/>
  <c r="AF123" i="24" s="1"/>
  <c r="AR120" i="24"/>
  <c r="AR118" i="24"/>
  <c r="AL121" i="24"/>
  <c r="AL122" i="24" s="1"/>
  <c r="AL123" i="24" s="1"/>
  <c r="AS98" i="24"/>
  <c r="AS96" i="24"/>
  <c r="AR100" i="24"/>
  <c r="AS97" i="24"/>
  <c r="AS99" i="24"/>
  <c r="AL100" i="24"/>
  <c r="AF100" i="24"/>
  <c r="AR121" i="24" l="1"/>
  <c r="AR122" i="24" s="1"/>
  <c r="AR123" i="24" s="1"/>
  <c r="AS100" i="24"/>
  <c r="H118" i="24"/>
  <c r="AS118" i="24" s="1"/>
  <c r="H120" i="24"/>
  <c r="AS120" i="24" s="1"/>
  <c r="H121" i="24" l="1"/>
  <c r="H122" i="24" s="1"/>
  <c r="AS122" i="24" s="1"/>
  <c r="AS121" i="24" l="1"/>
  <c r="H123" i="24"/>
  <c r="AS123" i="2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tc={C9AD4688-88AD-4AF4-8A5A-0994645CC0C1}</author>
    <author>tc={E26E3B91-AC49-4E0E-AAEF-1C70BFB95701}</author>
    <author>tc={DD66B2D7-96F8-4B95-B688-53A99D1F4919}</author>
    <author>Author</author>
  </authors>
  <commentList>
    <comment ref="F1" authorId="0" shapeId="0" xr:uid="{C9AD4688-88AD-4AF4-8A5A-0994645CC0C1}">
      <text>
        <t>[Threaded comment]
Your version of Excel allows you to read this threaded comment; however, any edits to it will get removed if the file is opened in a newer version of Excel. Learn more: https://go.microsoft.com/fwlink/?linkid=870924
Comment:
    Cayuse SP Proposal number.</t>
      </text>
    </comment>
    <comment ref="F2" authorId="1" shapeId="0" xr:uid="{E26E3B91-AC49-4E0E-AAEF-1C70BFB95701}">
      <text>
        <t>[Threaded comment]
Your version of Excel allows you to read this threaded comment; however, any edits to it will get removed if the file is opened in a newer version of Excel. Learn more: https://go.microsoft.com/fwlink/?linkid=870924
Comment:
    Internal project ID number.</t>
      </text>
    </comment>
    <comment ref="F3" authorId="2" shapeId="0" xr:uid="{DD66B2D7-96F8-4B95-B688-53A99D1F4919}">
      <text>
        <t>[Threaded comment]
Your version of Excel allows you to read this threaded comment; however, any edits to it will get removed if the file is opened in a newer version of Excel. Learn more: https://go.microsoft.com/fwlink/?linkid=870924
Comment:
    Award number assigned by sponsor.</t>
      </text>
    </comment>
    <comment ref="B17" authorId="3" shapeId="0" xr:uid="{00000000-0006-0000-0300-000002000000}">
      <text>
        <r>
          <rPr>
            <b/>
            <sz val="9"/>
            <color indexed="81"/>
            <rFont val="Tahoma"/>
            <family val="2"/>
          </rPr>
          <t>Summer salary autocalculates based on academic salary entered.</t>
        </r>
        <r>
          <rPr>
            <sz val="9"/>
            <color indexed="81"/>
            <rFont val="Tahoma"/>
            <family val="2"/>
          </rPr>
          <t xml:space="preserve">
</t>
        </r>
      </text>
    </comment>
    <comment ref="B19" authorId="3" shapeId="0" xr:uid="{00000000-0006-0000-0300-000003000000}">
      <text>
        <r>
          <rPr>
            <b/>
            <sz val="9"/>
            <color indexed="81"/>
            <rFont val="Tahoma"/>
            <family val="2"/>
          </rPr>
          <t>Summer salary autocalculates based on academic salary entered.</t>
        </r>
        <r>
          <rPr>
            <sz val="9"/>
            <color indexed="81"/>
            <rFont val="Tahoma"/>
            <family val="2"/>
          </rPr>
          <t xml:space="preserve">
</t>
        </r>
      </text>
    </comment>
    <comment ref="A21" authorId="3" shapeId="0" xr:uid="{EC81B4D6-93F1-4AB6-8CB4-971C1D129A15}">
      <text>
        <r>
          <rPr>
            <b/>
            <sz val="9"/>
            <color indexed="81"/>
            <rFont val="Tahoma"/>
            <family val="2"/>
          </rPr>
          <t xml:space="preserve">Full-time postdocs are considered Exempt personnel </t>
        </r>
        <r>
          <rPr>
            <sz val="9"/>
            <color indexed="81"/>
            <rFont val="Tahoma"/>
            <family val="2"/>
          </rPr>
          <t>and are subject to the current CA minimum wage for Exempt employees:
Effective Jan. 1, 2025: $68,640
Effective Jan. 1, 2026: $70,304</t>
        </r>
      </text>
    </comment>
    <comment ref="A22" authorId="3" shapeId="0" xr:uid="{91E39FC1-C19E-4D5E-8FC1-E838B4D93601}">
      <text>
        <r>
          <rPr>
            <b/>
            <sz val="9"/>
            <color indexed="81"/>
            <rFont val="Tahoma"/>
            <family val="2"/>
          </rPr>
          <t xml:space="preserve">Exempt/Salaried personnel </t>
        </r>
        <r>
          <rPr>
            <sz val="9"/>
            <color indexed="81"/>
            <rFont val="Tahoma"/>
            <family val="2"/>
          </rPr>
          <t xml:space="preserve">and are subject to the current CA minimum wage for Exempt employees:
Effective Jan. 1, 2025: $68,640
Effective Jan. 1, 2026: $70,304
</t>
        </r>
        <r>
          <rPr>
            <b/>
            <sz val="9"/>
            <color indexed="81"/>
            <rFont val="Tahoma"/>
            <family val="2"/>
          </rPr>
          <t xml:space="preserve">
Full-time NON-exempt (i.e., hourly) staff</t>
        </r>
        <r>
          <rPr>
            <sz val="9"/>
            <color indexed="81"/>
            <rFont val="Tahoma"/>
            <family val="2"/>
          </rPr>
          <t xml:space="preserve"> are subject to the CA miniumum hourly wage:
Effective Jan. 1, 2025: $16.50/hour
Effective Jan. 1, 2026: $16.90/hour
NOTE: These are MINIMUM salaries. Proposed salary can be higher if justified and consistent with the rate paid for other similar positions regardless of funding source.</t>
        </r>
      </text>
    </comment>
    <comment ref="A24" authorId="3" shapeId="0" xr:uid="{9E9E94BD-15F5-4378-9704-D2FD1DF4E381}">
      <text>
        <r>
          <rPr>
            <b/>
            <sz val="9"/>
            <color indexed="81"/>
            <rFont val="Tahoma"/>
            <family val="2"/>
          </rPr>
          <t>Effective June 1, 2025, GRA1 rate is</t>
        </r>
        <r>
          <rPr>
            <sz val="9"/>
            <color indexed="81"/>
            <rFont val="Tahoma"/>
            <family val="2"/>
          </rPr>
          <t xml:space="preserve"> </t>
        </r>
        <r>
          <rPr>
            <b/>
            <sz val="9"/>
            <color indexed="81"/>
            <rFont val="Tahoma"/>
            <family val="2"/>
          </rPr>
          <t>$36.89/hour.
Effective January 1, 2026, GRA 1 rate is $37.81/hour</t>
        </r>
        <r>
          <rPr>
            <sz val="9"/>
            <color indexed="81"/>
            <rFont val="Tahoma"/>
            <family val="2"/>
          </rPr>
          <t xml:space="preserve">
</t>
        </r>
        <r>
          <rPr>
            <b/>
            <sz val="9"/>
            <color indexed="81"/>
            <rFont val="Tahoma"/>
            <family val="2"/>
          </rPr>
          <t>What is a Graduate Assistantship?</t>
        </r>
        <r>
          <rPr>
            <sz val="9"/>
            <color indexed="81"/>
            <rFont val="Tahoma"/>
            <family val="2"/>
          </rPr>
          <t xml:space="preserve">
Graduate Assistantships (also known as “GShips”) are student employment positions where graduate students are engaged in academic and research endeavors designed, to the extent possible, to further the graduate student’s own graduate career and development as a researcher, scholar, teacher, and professional.
</t>
        </r>
        <r>
          <rPr>
            <u/>
            <sz val="9"/>
            <color indexed="81"/>
            <rFont val="Tahoma"/>
            <family val="2"/>
          </rPr>
          <t xml:space="preserve">Graduate Assistantships should </t>
        </r>
        <r>
          <rPr>
            <b/>
            <u/>
            <sz val="9"/>
            <color indexed="81"/>
            <rFont val="Tahoma"/>
            <family val="2"/>
          </rPr>
          <t>not</t>
        </r>
        <r>
          <rPr>
            <u/>
            <sz val="9"/>
            <color indexed="81"/>
            <rFont val="Tahoma"/>
            <family val="2"/>
          </rPr>
          <t xml:space="preserve"> be confused with other types of graduate student worker employmen</t>
        </r>
        <r>
          <rPr>
            <sz val="9"/>
            <color indexed="81"/>
            <rFont val="Tahoma"/>
            <family val="2"/>
          </rPr>
          <t xml:space="preserve">t. Such work is geared towards the needs of the department, office, or faculty member, is typically administrative and/or clerical in scope, and is not tailored to the graduate student’s development.
</t>
        </r>
        <r>
          <rPr>
            <b/>
            <sz val="9"/>
            <color indexed="81"/>
            <rFont val="Tahoma"/>
            <family val="2"/>
          </rPr>
          <t>Graduate Research Assistant 1 (GRA1):</t>
        </r>
        <r>
          <rPr>
            <sz val="9"/>
            <color indexed="81"/>
            <rFont val="Tahoma"/>
            <family val="2"/>
          </rPr>
          <t xml:space="preserve"> A graduate student who has some limited
prior research experience at a lower level. A GRA1 works on a research project under
the direct supervision of a faculty member(s) who is the principal investigator of an
externally funded project or a faculty member(s) who received institutional funds for
the research project. The GRA1 performs research tasks beyond the scope of a
typical undergraduate or hourly graduate student worker, usually independently under
the mentorship of a faculty member. Tasks may include conducting literature reviews,
data collection, preparation of data for reporting, and logistical research to support the
principal investigator(s).
For more information, please refer to the following resources:
</t>
        </r>
        <r>
          <rPr>
            <b/>
            <sz val="9"/>
            <color indexed="81"/>
            <rFont val="Tahoma"/>
            <family val="2"/>
          </rPr>
          <t xml:space="preserve">GRA Handbook: </t>
        </r>
        <r>
          <rPr>
            <sz val="9"/>
            <color indexed="81"/>
            <rFont val="Tahoma"/>
            <family val="2"/>
          </rPr>
          <t xml:space="preserve">https://chapman0.sharepoint.com/sites/GraduateEducation82/SiteAssets/SitePages/Marketing-Expression(1)/2025-26-Chapman-Graduate-Assistantship-Handbook-05.31.2025%5b35%5d.pdf?web=1&amp;xsdata=MDV8MDJ8bWZhdWxrbmVAY2hhcG1hbi5lZHV8OTUxYjRhZjgxMDhmNDVmMGM3OTcwOGRkYTQ5ZGFiNjN8ODA5OTI5YWYyZDI1NDViZjk4MzcwODllYjljZmJkMDF8MHwwfDYzODg0NzcxOTI4MTQzMTM5N3xVbmtub3dufFRXRnBiR1pzYjNkOGV5SkZiWEIwZVUxaGNHa2lPblJ5ZFdVc0lsWWlPaUl3TGpBdU1EQXdNQ0lzSWxBaU9pSlhhVzR6TWlJc0lrRk9Jam9pVFdGcGJDSXNJbGRVSWpveWZRPT18MHx8fA%3d%3d&amp;sdata=dkVDby82L2IzUWI4T3Jmckt4MVZwNlZOSVlKZ2J2K2N2NjFydmNsSjJyYz0%3d
</t>
        </r>
        <r>
          <rPr>
            <b/>
            <sz val="9"/>
            <color indexed="81"/>
            <rFont val="Tahoma"/>
            <family val="2"/>
          </rPr>
          <t xml:space="preserve">GRA FAQs for PIs: </t>
        </r>
        <r>
          <rPr>
            <sz val="9"/>
            <color indexed="81"/>
            <rFont val="Tahoma"/>
            <family val="2"/>
          </rPr>
          <t xml:space="preserve">https://chapman0-my.sharepoint.com/:w:/g/personal/magallan_chapman_edu/EbxTSuWdFKtBl52uGEeDfOEBRB3mpiZg7mbSWEI-L22UVg?rtime=9nwFbEWw3Ug
</t>
        </r>
      </text>
    </comment>
    <comment ref="A25" authorId="3" shapeId="0" xr:uid="{86B71B2C-C674-4D51-AFFE-DB1B5A9B6F6F}">
      <text>
        <r>
          <rPr>
            <b/>
            <sz val="9"/>
            <color indexed="81"/>
            <rFont val="Tahoma"/>
            <family val="2"/>
          </rPr>
          <t xml:space="preserve">Effective June 1, 2025, GRA2 rate is $39.00/hour.
Effective January 1, 2025, GRA2 rate is $39.97/hour.
What is a Graduate Assistantship?
</t>
        </r>
        <r>
          <rPr>
            <sz val="9"/>
            <color indexed="81"/>
            <rFont val="Tahoma"/>
            <family val="2"/>
          </rPr>
          <t>Graduate Assistantships (also known as “GShips”) are student employment positions where graduate students are engaged in academic and research endeavors designed, to the extent possible, to further the graduate student’s own graduate career and development as a researcher, scholar, teacher, and professional.
Graduate Assistantships should not be confused with other types of graduate student worker employment. Such work is geared towards the needs of the department, office, or faculty member, is typically administrative and/or clerical in scope, and is not tailored to the graduate student’s development.</t>
        </r>
        <r>
          <rPr>
            <b/>
            <sz val="9"/>
            <color indexed="81"/>
            <rFont val="Tahoma"/>
            <family val="2"/>
          </rPr>
          <t xml:space="preserve">
Graduate Research Assistant 2 (GRA2): </t>
        </r>
        <r>
          <rPr>
            <sz val="9"/>
            <color indexed="81"/>
            <rFont val="Tahoma"/>
            <family val="2"/>
          </rPr>
          <t xml:space="preserve">An advanced graduate student who conducts research in support of a principal investigator of an externally funded project or a faculty member(s) who received institutional funds for the research project. The GRA2 performs research tasks beyond the scope of a GRA1. Tasks may include data collection and analysis, report preparation, coordination of field sites for data collection, and other project-specific organizational responsibilities. The GRA2 may be expected to make an original contribution (e.g., article for publication, presentation at a state or national conference) to a research effort that serves the common professional objectives of the student and supervisor.
For more information, please refer to the following resources:
</t>
        </r>
        <r>
          <rPr>
            <b/>
            <sz val="9"/>
            <color indexed="81"/>
            <rFont val="Tahoma"/>
            <family val="2"/>
          </rPr>
          <t xml:space="preserve">
GRA Handbook: </t>
        </r>
        <r>
          <rPr>
            <sz val="9"/>
            <color indexed="81"/>
            <rFont val="Tahoma"/>
            <family val="2"/>
          </rPr>
          <t>https://chapman0.sharepoint.com/sites/GraduateEducation82/SiteAssets/Forms/AllItems.aspx?id=%2Fsites%2FGraduateEducation82%2FSiteAssets%2FSitePages%2FMarketing%2DExpression%281%29%2F2025%2D26%2DChapman%2DGraduate%2DAssistantship%2DHandbook%2D05%2E31%2E2025%5B35%5D%2Epdf&amp;parent=%2Fsites%2FGraduateEducation82%2FSiteAssets%2FSitePages%2FMarketing%2DExpression%281%29</t>
        </r>
        <r>
          <rPr>
            <b/>
            <sz val="9"/>
            <color indexed="81"/>
            <rFont val="Tahoma"/>
            <family val="2"/>
          </rPr>
          <t xml:space="preserve">
GRA FAQs for PIs: </t>
        </r>
        <r>
          <rPr>
            <sz val="9"/>
            <color indexed="81"/>
            <rFont val="Tahoma"/>
            <family val="2"/>
          </rPr>
          <t>https://chapman0-my.sharepoint.com/:w:/g/personal/magallan_chapman_edu/EbxTSuWdFKtBl52uGEeDfOEBRB3mpiZg7mbSWEI-L22UVg?rtime=9nwFbEWw3Ug</t>
        </r>
      </text>
    </comment>
    <comment ref="A26" authorId="3" shapeId="0" xr:uid="{1008F149-B181-4437-8C6A-A823E87D03D9}">
      <text>
        <r>
          <rPr>
            <b/>
            <sz val="9"/>
            <color indexed="81"/>
            <rFont val="Tahoma"/>
            <family val="2"/>
          </rPr>
          <t>Subject to current CA minimum wage:</t>
        </r>
        <r>
          <rPr>
            <sz val="9"/>
            <color indexed="81"/>
            <rFont val="Tahoma"/>
            <family val="2"/>
          </rPr>
          <t xml:space="preserve">
Effective Jan. 1, 2025: $16.50/hour
Effective Jan. 1, 2026: $16.90/hour
(NOTE: These are MINIMUM salaries. Proposed salary can be higher if justified and consistent with the rate paid for other similar positions regardless of funding source.)
Student Workers are </t>
        </r>
        <r>
          <rPr>
            <u/>
            <sz val="9"/>
            <color indexed="81"/>
            <rFont val="Tahoma"/>
            <family val="2"/>
          </rPr>
          <t>usually undergraduate level</t>
        </r>
        <r>
          <rPr>
            <sz val="9"/>
            <color indexed="81"/>
            <rFont val="Tahoma"/>
            <family val="2"/>
          </rPr>
          <t xml:space="preserve"> but graduate students may be budgeted as student workers in special circumstances, ONLY if the work is geared towards the needs of the department, office, or faculty member, </t>
        </r>
        <r>
          <rPr>
            <u/>
            <sz val="9"/>
            <color indexed="81"/>
            <rFont val="Tahoma"/>
            <family val="2"/>
          </rPr>
          <t>is typically administrative and/or clerical in scope</t>
        </r>
        <r>
          <rPr>
            <sz val="9"/>
            <color indexed="81"/>
            <rFont val="Tahoma"/>
            <family val="2"/>
          </rPr>
          <t>, and is not tailored to the graduate student's development.</t>
        </r>
      </text>
    </comment>
    <comment ref="A30" authorId="3" shapeId="0" xr:uid="{37F26AC0-8786-41EE-A956-CD7CB2BC0C8C}">
      <text>
        <r>
          <rPr>
            <b/>
            <sz val="9"/>
            <color indexed="81"/>
            <rFont val="Tahoma"/>
            <family val="2"/>
          </rPr>
          <t xml:space="preserve">Faulkner, Megan
</t>
        </r>
        <r>
          <rPr>
            <sz val="9"/>
            <color indexed="81"/>
            <rFont val="Tahoma"/>
            <family val="2"/>
          </rPr>
          <t>Equipment is defined as any tangible nonexpenable property having a useful life of more than one year and an acquisition cost of $5,000 or more per unit.</t>
        </r>
      </text>
    </comment>
    <comment ref="A46" authorId="3" shapeId="0" xr:uid="{DDF7C7AF-1BB5-4D93-9191-5380BC17DB76}">
      <text>
        <r>
          <rPr>
            <b/>
            <sz val="9"/>
            <color indexed="81"/>
            <rFont val="Tahoma"/>
            <family val="2"/>
          </rPr>
          <t>Author:</t>
        </r>
        <r>
          <rPr>
            <sz val="9"/>
            <color indexed="81"/>
            <rFont val="Tahoma"/>
            <family val="2"/>
          </rPr>
          <t xml:space="preserve">
Tuition support must be included for doctoral students appointed to an eligible Gship position at 25% FTE or more.
See the </t>
        </r>
        <r>
          <rPr>
            <b/>
            <sz val="9"/>
            <color indexed="81"/>
            <rFont val="Tahoma"/>
            <family val="2"/>
          </rPr>
          <t>Graduate Student Tuition Support Policy</t>
        </r>
        <r>
          <rPr>
            <sz val="9"/>
            <color indexed="81"/>
            <rFont val="Tahoma"/>
            <family val="2"/>
          </rPr>
          <t xml:space="preserve"> for details: https://www.chapman.edu/research/policies-and-guidance/university-research-policies/index.aspx</t>
        </r>
      </text>
    </comment>
    <comment ref="A48" authorId="3" shapeId="0" xr:uid="{D0FE8342-B275-4B38-9666-02FADDDCDF61}">
      <text>
        <r>
          <rPr>
            <b/>
            <sz val="9"/>
            <color indexed="81"/>
            <rFont val="Tahoma"/>
            <family val="2"/>
          </rPr>
          <t>Author:</t>
        </r>
        <r>
          <rPr>
            <sz val="9"/>
            <color indexed="81"/>
            <rFont val="Tahoma"/>
            <family val="2"/>
          </rPr>
          <t xml:space="preserve">
To estimate costs, use the Vivarium Cost Calculator available at https://www.chapman.edu/research/integrity/iacuc/animal-research/index.aspx</t>
        </r>
      </text>
    </comment>
    <comment ref="AT48" authorId="3" shapeId="0" xr:uid="{A698D3B3-D889-44FC-99FE-9C16B963EC47}">
      <text>
        <r>
          <rPr>
            <b/>
            <sz val="9"/>
            <color indexed="81"/>
            <rFont val="Tahoma"/>
            <family val="2"/>
          </rPr>
          <t>Author:</t>
        </r>
        <r>
          <rPr>
            <sz val="9"/>
            <color indexed="81"/>
            <rFont val="Tahoma"/>
            <family val="2"/>
          </rPr>
          <t xml:space="preserve">
To estimate costs, use the Vivarium Cost Calculator available at https://www.chapman.edu/research/integrity/iacuc/animal-research/index.aspx</t>
        </r>
      </text>
    </comment>
    <comment ref="A49" authorId="3" shapeId="0" xr:uid="{74B66318-D08B-454F-9315-7B6E9A9552E6}">
      <text>
        <r>
          <rPr>
            <b/>
            <sz val="9"/>
            <color indexed="81"/>
            <rFont val="Tahoma"/>
            <family val="2"/>
          </rPr>
          <t>Author:</t>
        </r>
        <r>
          <rPr>
            <sz val="9"/>
            <color indexed="81"/>
            <rFont val="Tahoma"/>
            <family val="2"/>
          </rPr>
          <t xml:space="preserve">
DMS Costs should be budgeted in the appropriate categories (e.g., personnel, equipment, supplies, and other expenses). </t>
        </r>
        <r>
          <rPr>
            <u/>
            <sz val="9"/>
            <color indexed="81"/>
            <rFont val="Tahoma"/>
            <family val="2"/>
          </rPr>
          <t>Only</t>
        </r>
        <r>
          <rPr>
            <sz val="9"/>
            <color indexed="81"/>
            <rFont val="Tahoma"/>
            <family val="2"/>
          </rPr>
          <t xml:space="preserve"> enter costs on this "Other Data Management and Sharing Costs" line if they do </t>
        </r>
        <r>
          <rPr>
            <u/>
            <sz val="9"/>
            <color indexed="81"/>
            <rFont val="Tahoma"/>
            <family val="2"/>
          </rPr>
          <t>not</t>
        </r>
        <r>
          <rPr>
            <sz val="9"/>
            <color indexed="81"/>
            <rFont val="Tahoma"/>
            <family val="2"/>
          </rPr>
          <t xml:space="preserve"> belong on any other budget line. 
See additional guidance in the DMS Cost section to the right of the main budget table.</t>
        </r>
      </text>
    </comment>
    <comment ref="AT49" authorId="3" shapeId="0" xr:uid="{B8C6013D-6DDE-4B81-8FF5-3BF0E9CAFCAB}">
      <text>
        <r>
          <rPr>
            <b/>
            <sz val="9"/>
            <color indexed="81"/>
            <rFont val="Tahoma"/>
            <family val="2"/>
          </rPr>
          <t>Author:</t>
        </r>
        <r>
          <rPr>
            <sz val="9"/>
            <color indexed="81"/>
            <rFont val="Tahoma"/>
            <family val="2"/>
          </rPr>
          <t xml:space="preserve">
DMS Costs should be budgeted in the appropriate categories (e.g., personnel, equipment, supplies, and other expenses). </t>
        </r>
        <r>
          <rPr>
            <u/>
            <sz val="9"/>
            <color indexed="81"/>
            <rFont val="Tahoma"/>
            <family val="2"/>
          </rPr>
          <t>Only</t>
        </r>
        <r>
          <rPr>
            <sz val="9"/>
            <color indexed="81"/>
            <rFont val="Tahoma"/>
            <family val="2"/>
          </rPr>
          <t xml:space="preserve"> enter costs on this "Other Data Management and Sharing Costs" line if they do </t>
        </r>
        <r>
          <rPr>
            <u/>
            <sz val="9"/>
            <color indexed="81"/>
            <rFont val="Tahoma"/>
            <family val="2"/>
          </rPr>
          <t>not</t>
        </r>
        <r>
          <rPr>
            <sz val="9"/>
            <color indexed="81"/>
            <rFont val="Tahoma"/>
            <family val="2"/>
          </rPr>
          <t xml:space="preserve"> belong on any other budget line. 
See additional guidance in the DMS Cost section to the right of the main budget table.</t>
        </r>
      </text>
    </comment>
  </commentList>
</comments>
</file>

<file path=xl/sharedStrings.xml><?xml version="1.0" encoding="utf-8"?>
<sst xmlns="http://schemas.openxmlformats.org/spreadsheetml/2006/main" count="596" uniqueCount="235">
  <si>
    <t>Instructions</t>
  </si>
  <si>
    <t>This worksheet is meant for most standard grants and sponsored projects. If you are working with a sponsor or proposal that doesn't seem to fit this worksheet, please reach out to us at sps@chapman.edu for assistance.</t>
  </si>
  <si>
    <t>1. Enter data ONLY in the yellow cells. All other cells with auto-calculate.</t>
  </si>
  <si>
    <t xml:space="preserve">2. DO NOT DELETE any rows or columns in the budget worksheet as this will cause formulas to malfunction. Unnecessary rows or columns may be HIDDEN rather than deleted. </t>
  </si>
  <si>
    <r>
      <t xml:space="preserve">3. If additional personnel rows are needed: 
- Go to the Review tab and click "Unprotect Sheet".
- Select the row(s) that are similar to the one(s) you need (i.e., the 9-month Academic and 3-month Summer lines). Right click on the selection and click "Copy". 
- Right click on the row BELOW the selection and select "Insert Copied Cells".
</t>
    </r>
    <r>
      <rPr>
        <b/>
        <sz val="10"/>
        <rFont val="Arial"/>
        <family val="2"/>
      </rPr>
      <t xml:space="preserve">    - NOTE:</t>
    </r>
    <r>
      <rPr>
        <sz val="10"/>
        <rFont val="Arial"/>
        <family val="2"/>
      </rPr>
      <t xml:space="preserve"> If you need to duplicate the </t>
    </r>
    <r>
      <rPr>
        <b/>
        <sz val="10"/>
        <rFont val="Arial"/>
        <family val="2"/>
      </rPr>
      <t>Student Worker</t>
    </r>
    <r>
      <rPr>
        <sz val="10"/>
        <rFont val="Arial"/>
        <family val="2"/>
      </rPr>
      <t xml:space="preserve"> line, right click on the SAME Student Worker row (instead of the row below it) and select "Insert Copied Cells". This ensures the new row will be included in the summation for that section.
- Once you've added all the rows needed, return to the Review tab and click "Protect Sheet". In the pop-up window, click "OK" (do </t>
    </r>
    <r>
      <rPr>
        <u/>
        <sz val="10"/>
        <rFont val="Arial"/>
        <family val="2"/>
      </rPr>
      <t>not</t>
    </r>
    <r>
      <rPr>
        <sz val="10"/>
        <rFont val="Arial"/>
        <family val="2"/>
      </rPr>
      <t xml:space="preserve"> change any selections).</t>
    </r>
  </si>
  <si>
    <r>
      <t xml:space="preserve">4. If Base Salary turns </t>
    </r>
    <r>
      <rPr>
        <sz val="10"/>
        <color rgb="FFFF0000"/>
        <rFont val="Arial"/>
        <family val="2"/>
      </rPr>
      <t>RED</t>
    </r>
    <r>
      <rPr>
        <sz val="10"/>
        <rFont val="Arial"/>
        <family val="2"/>
      </rPr>
      <t>, this means the base salary exceeds the salary cap and therefore the salary cap has been used to calculate the Salary Requested.</t>
    </r>
  </si>
  <si>
    <t>5. Please note that individuals included on the GShip GRA lines may not necessarily have the role of 'GRA' as outlined by the sponsor, but they need to fit the University criteria as outlined in the notes.</t>
  </si>
  <si>
    <t>Start by answering the following questions about the current proposal:</t>
  </si>
  <si>
    <t>Location</t>
  </si>
  <si>
    <t>1. Is the prime sponsor Federal or Non-Federal?</t>
  </si>
  <si>
    <t>IDC Restricted?</t>
  </si>
  <si>
    <t>On campus</t>
  </si>
  <si>
    <t>Off campus</t>
  </si>
  <si>
    <t>2. Does the sponsor impose a salary cap?</t>
  </si>
  <si>
    <t>No</t>
  </si>
  <si>
    <t>Yes</t>
  </si>
  <si>
    <t>If yes, enter sponsor 12-month salary cap &gt;&gt;&gt;</t>
  </si>
  <si>
    <t>(See table below for current NIH/PHS Salary Cap)</t>
  </si>
  <si>
    <t>3. Is F&amp;A restricted by the sponsor or program?</t>
  </si>
  <si>
    <t>If yes, enter F&amp;A rate allowed by sponsor &gt;&gt;&gt;</t>
  </si>
  <si>
    <t>(Enter zero "0" if sponsor does not allow any F&amp;A)</t>
  </si>
  <si>
    <t>4. Where will the majority of Chapman's portion of the work be conducted?</t>
  </si>
  <si>
    <t>(Select "Off Campus" only if at least 51% of Chapman's scope of work will occur off-site. Please note that this will be reviewed by SPS for final approval of rate applied. Please contact us with any questions.)</t>
  </si>
  <si>
    <t>5. On what base should F&amp;A be calculated?</t>
  </si>
  <si>
    <t>MTDC</t>
  </si>
  <si>
    <t>(If sponsor restricts F&amp;A, TDC should be used unless otherwise instructed by sponsor policy)</t>
  </si>
  <si>
    <t>(MTDC = Modified Total Direct Costs; TDC = Total Direct Costs)</t>
  </si>
  <si>
    <r>
      <t xml:space="preserve">Standard Rate Table (do </t>
    </r>
    <r>
      <rPr>
        <b/>
        <u/>
        <sz val="10"/>
        <rFont val="Arial"/>
        <family val="2"/>
      </rPr>
      <t>not</t>
    </r>
    <r>
      <rPr>
        <b/>
        <sz val="10"/>
        <rFont val="Arial"/>
        <family val="2"/>
      </rPr>
      <t xml:space="preserve"> adjust values)</t>
    </r>
  </si>
  <si>
    <t>12-Month:</t>
  </si>
  <si>
    <t>1-Month:</t>
  </si>
  <si>
    <t>Fringe Benefits:</t>
  </si>
  <si>
    <t>Full-Time Faculty/Staff (on NON-FEDERAL awards):</t>
  </si>
  <si>
    <t>Full-Time Faculty/Staff (on FEDERAL awards):</t>
  </si>
  <si>
    <t>3/4-time Faculty/Staff:</t>
  </si>
  <si>
    <t>Part-time/Temp/Summer:</t>
  </si>
  <si>
    <t>Students (GRA &amp; UG):</t>
  </si>
  <si>
    <t>Indirect Costs (IDC/F&amp;A):</t>
  </si>
  <si>
    <t>On-Campus Rate:</t>
  </si>
  <si>
    <t>Off-Campus Rate:</t>
  </si>
  <si>
    <t>PI Name:</t>
  </si>
  <si>
    <t>SP#:</t>
  </si>
  <si>
    <t>REMINDERS:</t>
  </si>
  <si>
    <t>Department:</t>
  </si>
  <si>
    <t>Project#:</t>
  </si>
  <si>
    <t>12-Month</t>
  </si>
  <si>
    <t>Before using this worksheet, please complete the questions in the "START HERE" tab.</t>
  </si>
  <si>
    <t>Sponsor:</t>
  </si>
  <si>
    <t>1-Month</t>
  </si>
  <si>
    <t>Enter data ONLY in fields highlighted in yellow. All other fields will auto-calculate.</t>
  </si>
  <si>
    <t>Program:</t>
  </si>
  <si>
    <t>Fringe Benefit Rates:</t>
  </si>
  <si>
    <t>Do NOT delete rows as this will cause formulas to malfunction. Unnecessary rows may be HIDDEN instead of deleted.</t>
  </si>
  <si>
    <t>Proposal Title:</t>
  </si>
  <si>
    <t>Full-Time Faculty/Staff</t>
  </si>
  <si>
    <t>Grant Analyst / SP Admin:</t>
  </si>
  <si>
    <t>3/4-time Faculty/Staff</t>
  </si>
  <si>
    <t>No. of budget periods:</t>
  </si>
  <si>
    <t>Part-time/Temp/Summer</t>
  </si>
  <si>
    <t>Today's Date:</t>
  </si>
  <si>
    <t>Students (GRA &amp; UG)</t>
  </si>
  <si>
    <t>Indirect Cost (F&amp;A) Rate:</t>
  </si>
  <si>
    <t>Project Start Date:</t>
  </si>
  <si>
    <t>End Date:</t>
  </si>
  <si>
    <t>Standard Escalation is 3% &gt;&gt;&gt;</t>
  </si>
  <si>
    <t>Year 1 Escalation:</t>
  </si>
  <si>
    <t>Year 2 Escalation:</t>
  </si>
  <si>
    <t>Year 3 Escalation:</t>
  </si>
  <si>
    <t>Year 4 Escalation:</t>
  </si>
  <si>
    <t>Year 5 Escalation:</t>
  </si>
  <si>
    <t>Year 6 Escalation:</t>
  </si>
  <si>
    <t>Year 7 Escalation:</t>
  </si>
  <si>
    <t>Personnel:</t>
  </si>
  <si>
    <t>Year 1</t>
  </si>
  <si>
    <t>Year 2</t>
  </si>
  <si>
    <t>Year 3</t>
  </si>
  <si>
    <t>Year 4</t>
  </si>
  <si>
    <t>Year 5</t>
  </si>
  <si>
    <t>Year 6</t>
  </si>
  <si>
    <t>Year 7</t>
  </si>
  <si>
    <t>Current Base Salary</t>
  </si>
  <si>
    <t>% Effort</t>
  </si>
  <si>
    <t>Person Months</t>
  </si>
  <si>
    <t>Y1 Base Salary</t>
  </si>
  <si>
    <t>Salary Requested</t>
  </si>
  <si>
    <t>Fringes</t>
  </si>
  <si>
    <t>Totals</t>
  </si>
  <si>
    <t>Y2 Base Salary</t>
  </si>
  <si>
    <t>Y3 Base Salary</t>
  </si>
  <si>
    <t>Y4 Base Salary</t>
  </si>
  <si>
    <t>Y5 Base Salary</t>
  </si>
  <si>
    <t>Y6 Base Salary</t>
  </si>
  <si>
    <t>Y7 Base Salary</t>
  </si>
  <si>
    <t>TOTALS</t>
  </si>
  <si>
    <t>Name</t>
  </si>
  <si>
    <t>(Enter names in the fields below)</t>
  </si>
  <si>
    <t>PERSONNEL</t>
  </si>
  <si>
    <t>Faculty 1 - 9mo Academic</t>
  </si>
  <si>
    <t>Faculty 1 - 3mo Summer *</t>
  </si>
  <si>
    <t>Faculty 2 - 10mo Academic</t>
  </si>
  <si>
    <t>Faculty 2 - 2mo Summer *</t>
  </si>
  <si>
    <t>Faculty 3 - 12mo Appt</t>
  </si>
  <si>
    <t>Postdocs</t>
  </si>
  <si>
    <t>Full-Time Staff</t>
  </si>
  <si>
    <t>Gship: GRA1 (Graduate Research Assistantship 1)</t>
  </si>
  <si>
    <t>Gship: GRA2 (Graduate Research Assistantship 2)</t>
  </si>
  <si>
    <t>Student Worker (usually UG)</t>
  </si>
  <si>
    <t xml:space="preserve">Total Personnel </t>
  </si>
  <si>
    <t>Total Salaries</t>
  </si>
  <si>
    <t>Total Fringes</t>
  </si>
  <si>
    <t>EQUIPMENT (See note for definition)</t>
  </si>
  <si>
    <t>EQUIPMENT</t>
  </si>
  <si>
    <t xml:space="preserve">  Domestic Travel</t>
  </si>
  <si>
    <t xml:space="preserve">  Foreign Travel</t>
  </si>
  <si>
    <t>TRAVEL TOTAL</t>
  </si>
  <si>
    <t>Travel</t>
  </si>
  <si>
    <t xml:space="preserve">PARTICIPANT SUPPORT </t>
  </si>
  <si>
    <t>Base cost:</t>
  </si>
  <si>
    <t># of participants: Year 1:</t>
  </si>
  <si>
    <t># of participants: Year 2:</t>
  </si>
  <si>
    <t># of participants: Year 3:</t>
  </si>
  <si>
    <t># of participants: Year 4:</t>
  </si>
  <si>
    <t># of participants: Year 5:</t>
  </si>
  <si>
    <t># of participants: Year 6:</t>
  </si>
  <si>
    <t># of participants: Year 7:</t>
  </si>
  <si>
    <t>PARTICIPANT SUPPORT COSTS</t>
  </si>
  <si>
    <t>Participant Support Total</t>
  </si>
  <si>
    <t>Participant Support Costs</t>
  </si>
  <si>
    <t>OTHER DIRECT COSTS</t>
  </si>
  <si>
    <t>If constant, enter here, will autofill all years.</t>
  </si>
  <si>
    <t xml:space="preserve">  Materials and Supplies</t>
  </si>
  <si>
    <t xml:space="preserve"> IF THIS SECTION DOES NOT APPLY, IT MAY BE HIDDEN BY CLICKING THE "-" BUTTON ABOVE COLUMN 'BE'.</t>
  </si>
  <si>
    <t xml:space="preserve">  Publication Costs</t>
  </si>
  <si>
    <r>
      <t xml:space="preserve">Data Management and Sharing (DMS) Costs </t>
    </r>
    <r>
      <rPr>
        <b/>
        <sz val="10"/>
        <color rgb="FFA50034"/>
        <rFont val="Arial"/>
        <family val="2"/>
      </rPr>
      <t>- FOR NIH PROPOSALS ONLY</t>
    </r>
  </si>
  <si>
    <t>Salary</t>
  </si>
  <si>
    <t>Enter the amount from each budget line that is meant to support compliance with the DMS Plan.</t>
  </si>
  <si>
    <t>Fringe</t>
  </si>
  <si>
    <t xml:space="preserve">  Tuition (excluded from MTDC)</t>
  </si>
  <si>
    <t>Equipment</t>
  </si>
  <si>
    <t xml:space="preserve">  Human Subject Remuneration</t>
  </si>
  <si>
    <t>Materials &amp; Supplies</t>
  </si>
  <si>
    <t xml:space="preserve">  Vivarium/Animal Costs</t>
  </si>
  <si>
    <t>Consultant Services</t>
  </si>
  <si>
    <t xml:space="preserve">  Other Data Management and Sharing Costs</t>
  </si>
  <si>
    <t>Other DMS Costs</t>
  </si>
  <si>
    <t>This is the number that should appear in the "Data Management and Sharing Justification" section of your budget justification.</t>
  </si>
  <si>
    <t xml:space="preserve">  Other </t>
  </si>
  <si>
    <t>Total DMS Costs</t>
  </si>
  <si>
    <r>
      <rPr>
        <b/>
        <sz val="8"/>
        <rFont val="Arial"/>
        <family val="2"/>
      </rPr>
      <t xml:space="preserve">DMS Costs: </t>
    </r>
    <r>
      <rPr>
        <sz val="8"/>
        <rFont val="Arial"/>
        <family val="2"/>
      </rPr>
      <t xml:space="preserve">All NIH proposals on which Chapman is the prime applicant must include DMS Costs (if proposing $0, this must be very well justified). Proposals on which Chapman is a subaward will be evaluated on a case-by-case basis to determine whether this requirement will apply. 
DMS Costs should be budgeted in the appropriate categories (e.g., personnel, equipment, supplies, and other expenses). Only enter costs on the "Other Data Management and Sharing Costs" line if they do not belong on any other budget line. 
See our DMS Guidance for more information: https://www.chapman.edu/research/_files/dms-plan-guidance-for-website_8.15.24.pdf </t>
    </r>
  </si>
  <si>
    <t>Other Direct Costs Total</t>
  </si>
  <si>
    <t>Subtotal, Other Direct Costs</t>
  </si>
  <si>
    <t>SUBAWARDS</t>
  </si>
  <si>
    <t xml:space="preserve"> (Overwrite "Subaward Name" with actual name)</t>
  </si>
  <si>
    <t xml:space="preserve">  Subaward Name </t>
  </si>
  <si>
    <t>#1</t>
  </si>
  <si>
    <t>Direct costs of Subcontractor</t>
  </si>
  <si>
    <t>F&amp;A Costs of Subcontractor</t>
  </si>
  <si>
    <t xml:space="preserve">  Subaward 1 Total</t>
  </si>
  <si>
    <t>Amount towards MTDC</t>
  </si>
  <si>
    <t>Total SUB001</t>
  </si>
  <si>
    <t>#2</t>
  </si>
  <si>
    <t xml:space="preserve">  Subaward 2 Total</t>
  </si>
  <si>
    <t>Total SUB002</t>
  </si>
  <si>
    <t>#3</t>
  </si>
  <si>
    <t xml:space="preserve">  Subaward 3 Total</t>
  </si>
  <si>
    <t>Total SUB003</t>
  </si>
  <si>
    <t>#4</t>
  </si>
  <si>
    <t xml:space="preserve">  Subaward 4 Total</t>
  </si>
  <si>
    <t>Total SUB004</t>
  </si>
  <si>
    <t>#5</t>
  </si>
  <si>
    <t xml:space="preserve">  Subaward 5 Total</t>
  </si>
  <si>
    <t>Total SUB005</t>
  </si>
  <si>
    <t>#6</t>
  </si>
  <si>
    <t xml:space="preserve">  Subaward 6 Total</t>
  </si>
  <si>
    <t>Total SUB006</t>
  </si>
  <si>
    <t>#7</t>
  </si>
  <si>
    <t xml:space="preserve">  Subaward 7 Total</t>
  </si>
  <si>
    <t>Total SUB007</t>
  </si>
  <si>
    <t>#8</t>
  </si>
  <si>
    <t xml:space="preserve">  Subaward 8 Total</t>
  </si>
  <si>
    <t>Total SUB008</t>
  </si>
  <si>
    <t>#9</t>
  </si>
  <si>
    <t xml:space="preserve">  Subaward 9 Total</t>
  </si>
  <si>
    <t>Total SUB009</t>
  </si>
  <si>
    <t>#10</t>
  </si>
  <si>
    <t xml:space="preserve">  Subaward 10 Total</t>
  </si>
  <si>
    <t>Total SUB0010</t>
  </si>
  <si>
    <t xml:space="preserve">FULL PROJECT </t>
  </si>
  <si>
    <t>Total Direct Costs (TDC)</t>
  </si>
  <si>
    <t>NOTE: This line applies only to NIH/PHS proposals &gt;&gt;&gt;</t>
  </si>
  <si>
    <t>Total Direct less Subs' F&amp;A</t>
  </si>
  <si>
    <t>Total Direct Costs Less Subs' F&amp;A</t>
  </si>
  <si>
    <t>Modified Total Direct Costs (MTDC)</t>
  </si>
  <si>
    <t>F&amp;A Base:</t>
  </si>
  <si>
    <t>Facilities and Administrative Costs</t>
  </si>
  <si>
    <t>Grand Total</t>
  </si>
  <si>
    <t>THE ORANGE SECTIONS BELOW APPLY ONLY TO CERTAIN PROPOSALS AND CALCULATE BASED ON THE INFORMATION ENTERED ABOVE AND IN THE "START HERE" TAB. SECTIONS MAY BE HIDDEN BY CLICKING THE "-" BUTTON ON THE LEFT IF THEY DO NOT APPLY TO THIS PROPOSAL.</t>
  </si>
  <si>
    <t>APPLICABLE ONLY TO PROPOSALS THAT INVOLVE A SALARY CAP (Salary over the cap to be cost-shared by dept): This section may be hidden if it does not apply to this proposal (click the "-" button on the left to hide)</t>
  </si>
  <si>
    <t>Dept Sal Share</t>
  </si>
  <si>
    <t>Dept Fringe Share</t>
  </si>
  <si>
    <t>Total Dept Share</t>
  </si>
  <si>
    <t>APPLICABLE ONLY TO PHS/NIH PROPOSALS USING A MODULAR BUDGET (for entry into PHS 398 Modular Budget): This section may be hidden if it does not apply to this proposal (click the "-" button on the left to hide)</t>
  </si>
  <si>
    <t>FULL PROJECT</t>
  </si>
  <si>
    <t>Direct Cost less Consortium Indirect (F&amp;A)</t>
  </si>
  <si>
    <t>TDC less subs F&amp;A</t>
  </si>
  <si>
    <t>Consortium Indirect (F&amp;A)</t>
  </si>
  <si>
    <t>subs F&amp;A</t>
  </si>
  <si>
    <t>Total Direct Costs</t>
  </si>
  <si>
    <t xml:space="preserve">TDC </t>
  </si>
  <si>
    <t>Indirect (F&amp;A) Base</t>
  </si>
  <si>
    <t>F&amp;A Base</t>
  </si>
  <si>
    <t>Indirect (F&amp;A) Funds Requested</t>
  </si>
  <si>
    <t>F&amp;A costs</t>
  </si>
  <si>
    <t>Total Funds Requested</t>
  </si>
  <si>
    <t>Total requested</t>
  </si>
  <si>
    <t>#/modules</t>
  </si>
  <si>
    <t>exclusions</t>
  </si>
  <si>
    <t xml:space="preserve">  Consultant/Professional Services</t>
  </si>
  <si>
    <t xml:space="preserve">  Alterations (excluded from MTDC)</t>
  </si>
  <si>
    <t xml:space="preserve">  Renovations (excluded from MTDC)</t>
  </si>
  <si>
    <t xml:space="preserve">  Rental Use - excluded from MTDC</t>
  </si>
  <si>
    <t>Part-Time Staff</t>
  </si>
  <si>
    <t>Temporary Staff</t>
  </si>
  <si>
    <t>Part-Time Faculty</t>
  </si>
  <si>
    <t xml:space="preserve">  Alternations/Renovations/Rental Use - SELECT ONE</t>
  </si>
  <si>
    <t>Part-Time/Temp Staff/Faculty - SELECT ONE</t>
  </si>
  <si>
    <t>per individual</t>
  </si>
  <si>
    <t xml:space="preserve">  Stipends</t>
  </si>
  <si>
    <t xml:space="preserve">  Tuition/Fees/Insurance</t>
  </si>
  <si>
    <t xml:space="preserve">  Travel</t>
  </si>
  <si>
    <t xml:space="preserve">  Subsistence</t>
  </si>
  <si>
    <t xml:space="preserve">  Other</t>
  </si>
  <si>
    <t>Award#:</t>
  </si>
  <si>
    <t xml:space="preserve">  Software (including cloud-based research services) </t>
  </si>
  <si>
    <r>
      <t xml:space="preserve">NIH/PHS Salary Cap                                                                             </t>
    </r>
    <r>
      <rPr>
        <u/>
        <sz val="10"/>
        <rFont val="Arial"/>
        <family val="2"/>
      </rPr>
      <t>(effective January 1, 2026)</t>
    </r>
  </si>
  <si>
    <t>Federal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</si>
</sst>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5" formatCode="&quot;$&quot;#,##0_);\(&quot;$&quot;#,##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0.0%"/>
    <numFmt numFmtId="165" formatCode="_(* #,##0_);_(* \(#,##0\);_(* &quot;-&quot;??_);_(@_)"/>
    <numFmt numFmtId="166" formatCode="_(&quot;$&quot;* #,##0_);_(&quot;$&quot;* \(#,##0\);_(&quot;$&quot;* &quot;-&quot;??_);_(@_)"/>
  </numFmts>
  <fonts count="50" x14ac:knownFonts="1">
    <font>
      <sz val="10"/>
      <name val="Arial"/>
    </font>
    <font>
      <sz val="10"/>
      <name val="Arial"/>
      <family val="2"/>
    </font>
    <font>
      <u/>
      <sz val="10"/>
      <name val="Arial"/>
      <family val="2"/>
    </font>
    <font>
      <b/>
      <sz val="10"/>
      <name val="Arial"/>
      <family val="2"/>
    </font>
    <font>
      <i/>
      <sz val="10"/>
      <name val="Arial"/>
      <family val="2"/>
    </font>
    <font>
      <i/>
      <u/>
      <sz val="10"/>
      <name val="Arial"/>
      <family val="2"/>
    </font>
    <font>
      <sz val="10"/>
      <color indexed="18"/>
      <name val="Arial"/>
      <family val="2"/>
    </font>
    <font>
      <b/>
      <sz val="10"/>
      <color indexed="18"/>
      <name val="Arial"/>
      <family val="2"/>
    </font>
    <font>
      <sz val="10"/>
      <name val="Arial"/>
      <family val="2"/>
    </font>
    <font>
      <sz val="10"/>
      <name val="Arial"/>
      <family val="2"/>
    </font>
    <font>
      <sz val="9"/>
      <color indexed="81"/>
      <name val="Tahoma"/>
      <family val="2"/>
    </font>
    <font>
      <b/>
      <sz val="9"/>
      <color indexed="81"/>
      <name val="Tahoma"/>
      <family val="2"/>
    </font>
    <font>
      <b/>
      <i/>
      <sz val="10"/>
      <name val="Arial"/>
      <family val="2"/>
    </font>
    <font>
      <b/>
      <i/>
      <u/>
      <sz val="10"/>
      <name val="Arial"/>
      <family val="2"/>
    </font>
    <font>
      <b/>
      <sz val="10"/>
      <color theme="2" tint="-0.499984740745262"/>
      <name val="Arial"/>
      <family val="2"/>
    </font>
    <font>
      <sz val="10"/>
      <color theme="2" tint="-0.499984740745262"/>
      <name val="Arial"/>
      <family val="2"/>
    </font>
    <font>
      <sz val="10"/>
      <color theme="5" tint="-0.249977111117893"/>
      <name val="Arial"/>
      <family val="2"/>
    </font>
    <font>
      <b/>
      <sz val="10"/>
      <color theme="5" tint="-0.249977111117893"/>
      <name val="Arial"/>
      <family val="2"/>
    </font>
    <font>
      <b/>
      <sz val="10"/>
      <color theme="3" tint="-0.249977111117893"/>
      <name val="Arial"/>
      <family val="2"/>
    </font>
    <font>
      <sz val="10"/>
      <color theme="3" tint="-0.249977111117893"/>
      <name val="Arial"/>
      <family val="2"/>
    </font>
    <font>
      <sz val="10"/>
      <color theme="1"/>
      <name val="Arial"/>
      <family val="2"/>
    </font>
    <font>
      <u/>
      <sz val="9"/>
      <color indexed="81"/>
      <name val="Tahoma"/>
      <family val="2"/>
    </font>
    <font>
      <b/>
      <u/>
      <sz val="9"/>
      <color indexed="81"/>
      <name val="Tahoma"/>
      <family val="2"/>
    </font>
    <font>
      <b/>
      <sz val="10"/>
      <color rgb="FFFFFF00"/>
      <name val="Arial"/>
      <family val="2"/>
    </font>
    <font>
      <b/>
      <u/>
      <sz val="10"/>
      <name val="Arial"/>
      <family val="2"/>
    </font>
    <font>
      <b/>
      <u/>
      <sz val="10"/>
      <color theme="5" tint="-0.249977111117893"/>
      <name val="Arial"/>
      <family val="2"/>
    </font>
    <font>
      <u/>
      <sz val="10"/>
      <name val="Times New Roman"/>
      <family val="1"/>
    </font>
    <font>
      <b/>
      <sz val="10"/>
      <color theme="1"/>
      <name val="Arial"/>
      <family val="2"/>
    </font>
    <font>
      <b/>
      <sz val="10"/>
      <color theme="1"/>
      <name val="Times New Roman"/>
      <family val="1"/>
    </font>
    <font>
      <sz val="8"/>
      <name val="Arial"/>
      <family val="2"/>
    </font>
    <font>
      <i/>
      <u/>
      <sz val="10"/>
      <color theme="0"/>
      <name val="Arial"/>
      <family val="2"/>
    </font>
    <font>
      <b/>
      <sz val="10"/>
      <color theme="0"/>
      <name val="Arial"/>
      <family val="2"/>
    </font>
    <font>
      <b/>
      <i/>
      <sz val="10"/>
      <color theme="0"/>
      <name val="Arial"/>
      <family val="2"/>
    </font>
    <font>
      <i/>
      <sz val="10"/>
      <color theme="0"/>
      <name val="Arial"/>
      <family val="2"/>
    </font>
    <font>
      <b/>
      <sz val="10"/>
      <color rgb="FFA50034"/>
      <name val="Arial"/>
      <family val="2"/>
    </font>
    <font>
      <b/>
      <i/>
      <sz val="10"/>
      <color theme="1"/>
      <name val="Arial"/>
      <family val="2"/>
    </font>
    <font>
      <b/>
      <i/>
      <u/>
      <sz val="10"/>
      <color theme="1"/>
      <name val="Arial"/>
      <family val="2"/>
    </font>
    <font>
      <i/>
      <u/>
      <sz val="10"/>
      <color theme="1"/>
      <name val="Arial"/>
      <family val="2"/>
    </font>
    <font>
      <b/>
      <i/>
      <u val="singleAccounting"/>
      <sz val="10"/>
      <color theme="1"/>
      <name val="Arial"/>
      <family val="2"/>
    </font>
    <font>
      <i/>
      <sz val="10"/>
      <color theme="1"/>
      <name val="Arial"/>
      <family val="2"/>
    </font>
    <font>
      <b/>
      <sz val="10"/>
      <color theme="0" tint="-0.499984740745262"/>
      <name val="Arial"/>
      <family val="2"/>
    </font>
    <font>
      <sz val="10"/>
      <name val="Arial"/>
      <family val="2"/>
    </font>
    <font>
      <b/>
      <sz val="8"/>
      <name val="Arial"/>
      <family val="2"/>
    </font>
    <font>
      <sz val="9"/>
      <name val="Arial"/>
      <family val="2"/>
    </font>
    <font>
      <b/>
      <sz val="9"/>
      <name val="Arial"/>
      <family val="2"/>
    </font>
    <font>
      <b/>
      <sz val="18"/>
      <color rgb="FFC00000"/>
      <name val="Arial"/>
      <family val="2"/>
    </font>
    <font>
      <sz val="11"/>
      <name val="Arial"/>
      <family val="2"/>
    </font>
    <font>
      <b/>
      <sz val="11"/>
      <name val="Arial"/>
      <family val="2"/>
    </font>
    <font>
      <sz val="10"/>
      <color rgb="FFFF0000"/>
      <name val="Arial"/>
      <family val="2"/>
    </font>
    <font>
      <b/>
      <sz val="9"/>
      <color theme="1"/>
      <name val="Arial"/>
      <family val="2"/>
    </font>
  </fonts>
  <fills count="16">
    <fill>
      <patternFill patternType="none"/>
    </fill>
    <fill>
      <patternFill patternType="gray125"/>
    </fill>
    <fill>
      <patternFill patternType="solid">
        <fgColor theme="0" tint="-0.14999847407452621"/>
        <bgColor indexed="64"/>
      </patternFill>
    </fill>
    <fill>
      <patternFill patternType="solid">
        <fgColor theme="5" tint="0.59999389629810485"/>
        <bgColor indexed="64"/>
      </patternFill>
    </fill>
    <fill>
      <patternFill patternType="solid">
        <fgColor theme="2" tint="-9.9978637043366805E-2"/>
        <bgColor indexed="64"/>
      </patternFill>
    </fill>
    <fill>
      <patternFill patternType="solid">
        <fgColor theme="3" tint="0.79998168889431442"/>
        <bgColor indexed="64"/>
      </patternFill>
    </fill>
    <fill>
      <patternFill patternType="solid">
        <fgColor rgb="FF92D050"/>
        <bgColor indexed="64"/>
      </patternFill>
    </fill>
    <fill>
      <patternFill patternType="solid">
        <fgColor theme="0"/>
        <bgColor indexed="64"/>
      </patternFill>
    </fill>
    <fill>
      <patternFill patternType="solid">
        <fgColor rgb="FFFFFF99"/>
        <bgColor indexed="64"/>
      </patternFill>
    </fill>
    <fill>
      <patternFill patternType="solid">
        <fgColor rgb="FF6E6259"/>
        <bgColor indexed="64"/>
      </patternFill>
    </fill>
    <fill>
      <patternFill patternType="solid">
        <fgColor theme="4" tint="0.59996337778862885"/>
        <bgColor indexed="64"/>
      </patternFill>
    </fill>
    <fill>
      <patternFill patternType="solid">
        <fgColor theme="4" tint="0.79998168889431442"/>
        <bgColor indexed="64"/>
      </patternFill>
    </fill>
    <fill>
      <patternFill patternType="solid">
        <fgColor theme="0" tint="-0.14996795556505021"/>
        <bgColor indexed="64"/>
      </patternFill>
    </fill>
    <fill>
      <patternFill patternType="solid">
        <fgColor theme="4" tint="0.59999389629810485"/>
        <bgColor indexed="64"/>
      </patternFill>
    </fill>
    <fill>
      <patternFill patternType="solid">
        <fgColor theme="9" tint="0.79998168889431442"/>
        <bgColor indexed="64"/>
      </patternFill>
    </fill>
    <fill>
      <patternFill patternType="solid">
        <fgColor theme="9" tint="0.59999389629810485"/>
        <bgColor indexed="64"/>
      </patternFill>
    </fill>
  </fills>
  <borders count="65">
    <border>
      <left/>
      <right/>
      <top/>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style="thin">
        <color indexed="64"/>
      </right>
      <top/>
      <bottom/>
      <diagonal/>
    </border>
    <border>
      <left style="medium">
        <color indexed="64"/>
      </left>
      <right style="medium">
        <color indexed="64"/>
      </right>
      <top/>
      <bottom/>
      <diagonal/>
    </border>
    <border>
      <left/>
      <right/>
      <top style="mediumDashed">
        <color indexed="64"/>
      </top>
      <bottom/>
      <diagonal/>
    </border>
    <border>
      <left/>
      <right/>
      <top/>
      <bottom style="mediumDashed">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Dashed">
        <color indexed="64"/>
      </bottom>
      <diagonal/>
    </border>
    <border>
      <left/>
      <right style="medium">
        <color indexed="64"/>
      </right>
      <top/>
      <bottom/>
      <diagonal/>
    </border>
    <border>
      <left/>
      <right/>
      <top/>
      <bottom style="double">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Dashed">
        <color indexed="64"/>
      </bottom>
      <diagonal/>
    </border>
    <border>
      <left style="medium">
        <color indexed="64"/>
      </left>
      <right style="medium">
        <color indexed="64"/>
      </right>
      <top/>
      <bottom style="medium">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style="medium">
        <color indexed="64"/>
      </bottom>
      <diagonal/>
    </border>
    <border>
      <left/>
      <right style="thin">
        <color indexed="64"/>
      </right>
      <top style="mediumDashed">
        <color indexed="64"/>
      </top>
      <bottom/>
      <diagonal/>
    </border>
    <border>
      <left/>
      <right/>
      <top style="medium">
        <color indexed="64"/>
      </top>
      <bottom style="medium">
        <color indexed="64"/>
      </bottom>
      <diagonal/>
    </border>
    <border>
      <left/>
      <right/>
      <top style="thin">
        <color indexed="64"/>
      </top>
      <bottom style="medium">
        <color indexed="64"/>
      </bottom>
      <diagonal/>
    </border>
    <border>
      <left/>
      <right style="medium">
        <color indexed="64"/>
      </right>
      <top/>
      <bottom style="thin">
        <color indexed="64"/>
      </bottom>
      <diagonal/>
    </border>
    <border>
      <left style="medium">
        <color indexed="64"/>
      </left>
      <right/>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medium">
        <color indexed="64"/>
      </bottom>
      <diagonal/>
    </border>
    <border>
      <left/>
      <right/>
      <top style="mediumDashed">
        <color indexed="64"/>
      </top>
      <bottom style="mediumDashed">
        <color indexed="64"/>
      </bottom>
      <diagonal/>
    </border>
    <border>
      <left style="medium">
        <color indexed="64"/>
      </left>
      <right style="medium">
        <color indexed="64"/>
      </right>
      <top style="mediumDashed">
        <color indexed="64"/>
      </top>
      <bottom style="mediumDashed">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double">
        <color indexed="64"/>
      </top>
      <bottom/>
      <diagonal/>
    </border>
    <border>
      <left/>
      <right style="thin">
        <color indexed="64"/>
      </right>
      <top style="double">
        <color indexed="64"/>
      </top>
      <bottom/>
      <diagonal/>
    </border>
    <border>
      <left/>
      <right style="medium">
        <color indexed="64"/>
      </right>
      <top style="medium">
        <color indexed="64"/>
      </top>
      <bottom/>
      <diagonal/>
    </border>
    <border>
      <left style="medium">
        <color indexed="64"/>
      </left>
      <right/>
      <top style="medium">
        <color indexed="64"/>
      </top>
      <bottom/>
      <diagonal/>
    </border>
    <border>
      <left/>
      <right style="medium">
        <color indexed="64"/>
      </right>
      <top style="mediumDashed">
        <color indexed="64"/>
      </top>
      <bottom style="mediumDashed">
        <color indexed="64"/>
      </bottom>
      <diagonal/>
    </border>
    <border>
      <left style="medium">
        <color indexed="64"/>
      </left>
      <right/>
      <top style="mediumDashed">
        <color indexed="64"/>
      </top>
      <bottom style="mediumDashed">
        <color indexed="64"/>
      </bottom>
      <diagonal/>
    </border>
    <border>
      <left style="medium">
        <color indexed="64"/>
      </left>
      <right/>
      <top/>
      <bottom style="double">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top style="thin">
        <color indexed="64"/>
      </top>
      <bottom style="medium">
        <color indexed="64"/>
      </bottom>
      <diagonal/>
    </border>
    <border>
      <left/>
      <right/>
      <top style="thin">
        <color indexed="64"/>
      </top>
      <bottom style="mediumDashed">
        <color indexed="64"/>
      </bottom>
      <diagonal/>
    </border>
    <border>
      <left style="medium">
        <color indexed="64"/>
      </left>
      <right/>
      <top/>
      <bottom style="mediumDashed">
        <color indexed="64"/>
      </bottom>
      <diagonal/>
    </border>
    <border>
      <left/>
      <right style="medium">
        <color indexed="64"/>
      </right>
      <top/>
      <bottom style="mediumDashed">
        <color indexed="64"/>
      </bottom>
      <diagonal/>
    </border>
    <border>
      <left style="medium">
        <color indexed="64"/>
      </left>
      <right/>
      <top style="mediumDashed">
        <color indexed="64"/>
      </top>
      <bottom/>
      <diagonal/>
    </border>
    <border>
      <left style="medium">
        <color theme="4" tint="0.39994506668294322"/>
      </left>
      <right/>
      <top style="medium">
        <color theme="4" tint="0.39994506668294322"/>
      </top>
      <bottom/>
      <diagonal/>
    </border>
    <border>
      <left/>
      <right/>
      <top style="medium">
        <color theme="4" tint="0.39994506668294322"/>
      </top>
      <bottom/>
      <diagonal/>
    </border>
    <border>
      <left/>
      <right style="medium">
        <color theme="4" tint="0.39994506668294322"/>
      </right>
      <top style="medium">
        <color theme="4" tint="0.39994506668294322"/>
      </top>
      <bottom/>
      <diagonal/>
    </border>
    <border>
      <left style="medium">
        <color theme="4" tint="0.39994506668294322"/>
      </left>
      <right/>
      <top/>
      <bottom/>
      <diagonal/>
    </border>
    <border>
      <left/>
      <right style="medium">
        <color theme="4" tint="0.39994506668294322"/>
      </right>
      <top/>
      <bottom/>
      <diagonal/>
    </border>
    <border>
      <left style="medium">
        <color theme="4" tint="0.39994506668294322"/>
      </left>
      <right/>
      <top/>
      <bottom style="medium">
        <color theme="4" tint="0.39994506668294322"/>
      </bottom>
      <diagonal/>
    </border>
    <border>
      <left/>
      <right/>
      <top/>
      <bottom style="medium">
        <color theme="4" tint="0.39994506668294322"/>
      </bottom>
      <diagonal/>
    </border>
    <border>
      <left style="thin">
        <color indexed="64"/>
      </left>
      <right/>
      <top/>
      <bottom style="medium">
        <color theme="4" tint="0.39994506668294322"/>
      </bottom>
      <diagonal/>
    </border>
    <border>
      <left/>
      <right style="medium">
        <color theme="4" tint="0.39994506668294322"/>
      </right>
      <top/>
      <bottom style="medium">
        <color theme="4" tint="0.39994506668294322"/>
      </bottom>
      <diagonal/>
    </border>
    <border>
      <left style="thin">
        <color indexed="64"/>
      </left>
      <right style="medium">
        <color indexed="64"/>
      </right>
      <top/>
      <bottom style="medium">
        <color indexed="64"/>
      </bottom>
      <diagonal/>
    </border>
    <border>
      <left style="thin">
        <color indexed="64"/>
      </left>
      <right style="medium">
        <color indexed="64"/>
      </right>
      <top style="mediumDashed">
        <color indexed="64"/>
      </top>
      <bottom/>
      <diagonal/>
    </border>
  </borders>
  <cellStyleXfs count="10">
    <xf numFmtId="0" fontId="0" fillId="0" borderId="0"/>
    <xf numFmtId="43" fontId="1" fillId="0" borderId="0" applyFont="0" applyFill="0" applyBorder="0" applyAlignment="0" applyProtection="0"/>
    <xf numFmtId="3" fontId="8" fillId="0" borderId="0" applyFont="0" applyFill="0" applyBorder="0" applyAlignment="0" applyProtection="0"/>
    <xf numFmtId="44" fontId="9" fillId="0" borderId="0" applyFont="0" applyFill="0" applyBorder="0" applyAlignment="0" applyProtection="0"/>
    <xf numFmtId="44" fontId="1" fillId="0" borderId="0" applyFont="0" applyFill="0" applyBorder="0" applyAlignment="0" applyProtection="0"/>
    <xf numFmtId="5" fontId="8" fillId="0" borderId="0" applyFont="0" applyFill="0" applyBorder="0" applyAlignment="0" applyProtection="0"/>
    <xf numFmtId="14" fontId="8" fillId="0" borderId="0" applyFont="0" applyFill="0" applyBorder="0" applyAlignment="0" applyProtection="0"/>
    <xf numFmtId="2" fontId="8" fillId="0" borderId="0" applyFont="0" applyFill="0" applyBorder="0" applyAlignment="0" applyProtection="0"/>
    <xf numFmtId="0" fontId="1" fillId="0" borderId="0"/>
    <xf numFmtId="9" fontId="41" fillId="0" borderId="0" applyFont="0" applyFill="0" applyBorder="0" applyAlignment="0" applyProtection="0"/>
  </cellStyleXfs>
  <cellXfs count="466">
    <xf numFmtId="0" fontId="0" fillId="0" borderId="0" xfId="0"/>
    <xf numFmtId="0" fontId="1" fillId="0" borderId="0" xfId="0" applyFont="1" applyAlignment="1">
      <alignment horizontal="left"/>
    </xf>
    <xf numFmtId="43" fontId="1" fillId="0" borderId="0" xfId="0" applyNumberFormat="1" applyFont="1"/>
    <xf numFmtId="41" fontId="1" fillId="0" borderId="0" xfId="0" applyNumberFormat="1" applyFont="1"/>
    <xf numFmtId="0" fontId="1" fillId="0" borderId="0" xfId="0" applyFont="1"/>
    <xf numFmtId="0" fontId="1" fillId="3" borderId="0" xfId="0" applyFont="1" applyFill="1"/>
    <xf numFmtId="0" fontId="3" fillId="3" borderId="0" xfId="0" applyFont="1" applyFill="1"/>
    <xf numFmtId="0" fontId="3" fillId="0" borderId="0" xfId="0" applyFont="1"/>
    <xf numFmtId="0" fontId="3" fillId="0" borderId="0" xfId="0" applyFont="1" applyAlignment="1">
      <alignment horizontal="left"/>
    </xf>
    <xf numFmtId="43" fontId="3" fillId="0" borderId="0" xfId="0" applyNumberFormat="1" applyFont="1"/>
    <xf numFmtId="41" fontId="3" fillId="0" borderId="0" xfId="0" applyNumberFormat="1" applyFont="1"/>
    <xf numFmtId="0" fontId="2" fillId="0" borderId="0" xfId="0" applyFont="1"/>
    <xf numFmtId="49" fontId="3" fillId="0" borderId="0" xfId="1" applyNumberFormat="1" applyFont="1" applyFill="1" applyBorder="1" applyProtection="1"/>
    <xf numFmtId="49" fontId="14" fillId="0" borderId="0" xfId="1" applyNumberFormat="1" applyFont="1" applyFill="1" applyBorder="1" applyProtection="1"/>
    <xf numFmtId="0" fontId="15" fillId="0" borderId="0" xfId="0" applyFont="1"/>
    <xf numFmtId="49" fontId="15" fillId="0" borderId="0" xfId="4" applyNumberFormat="1" applyFont="1" applyFill="1" applyBorder="1" applyProtection="1"/>
    <xf numFmtId="0" fontId="14" fillId="0" borderId="0" xfId="0" applyFont="1"/>
    <xf numFmtId="49" fontId="16" fillId="0" borderId="0" xfId="4" applyNumberFormat="1" applyFont="1" applyFill="1" applyBorder="1" applyProtection="1"/>
    <xf numFmtId="0" fontId="16" fillId="0" borderId="0" xfId="0" applyFont="1" applyAlignment="1">
      <alignment horizontal="left"/>
    </xf>
    <xf numFmtId="43" fontId="16" fillId="0" borderId="0" xfId="0" applyNumberFormat="1" applyFont="1"/>
    <xf numFmtId="41" fontId="16" fillId="0" borderId="0" xfId="0" applyNumberFormat="1" applyFont="1"/>
    <xf numFmtId="0" fontId="16" fillId="0" borderId="0" xfId="0" applyFont="1"/>
    <xf numFmtId="0" fontId="16" fillId="4" borderId="0" xfId="0" applyFont="1" applyFill="1"/>
    <xf numFmtId="49" fontId="17" fillId="0" borderId="0" xfId="4" applyNumberFormat="1" applyFont="1" applyFill="1" applyBorder="1" applyProtection="1"/>
    <xf numFmtId="43" fontId="18" fillId="0" borderId="0" xfId="0" applyNumberFormat="1" applyFont="1"/>
    <xf numFmtId="41" fontId="18" fillId="0" borderId="0" xfId="0" applyNumberFormat="1" applyFont="1"/>
    <xf numFmtId="0" fontId="18" fillId="0" borderId="0" xfId="0" applyFont="1"/>
    <xf numFmtId="0" fontId="18" fillId="5" borderId="0" xfId="0" applyFont="1" applyFill="1"/>
    <xf numFmtId="0" fontId="19" fillId="0" borderId="0" xfId="0" applyFont="1" applyAlignment="1">
      <alignment horizontal="left"/>
    </xf>
    <xf numFmtId="0" fontId="19" fillId="0" borderId="0" xfId="0" applyFont="1"/>
    <xf numFmtId="43" fontId="19" fillId="0" borderId="0" xfId="0" applyNumberFormat="1" applyFont="1"/>
    <xf numFmtId="41" fontId="19" fillId="0" borderId="0" xfId="0" applyNumberFormat="1" applyFont="1"/>
    <xf numFmtId="49" fontId="19" fillId="0" borderId="0" xfId="8" applyNumberFormat="1" applyFont="1"/>
    <xf numFmtId="0" fontId="19" fillId="0" borderId="0" xfId="8" applyFont="1"/>
    <xf numFmtId="0" fontId="18" fillId="0" borderId="0" xfId="0" applyFont="1" applyAlignment="1">
      <alignment horizontal="left"/>
    </xf>
    <xf numFmtId="0" fontId="6" fillId="0" borderId="0" xfId="0" applyFont="1"/>
    <xf numFmtId="0" fontId="7" fillId="0" borderId="0" xfId="0" applyFont="1"/>
    <xf numFmtId="49" fontId="1" fillId="0" borderId="0" xfId="8" applyNumberFormat="1"/>
    <xf numFmtId="0" fontId="1" fillId="0" borderId="0" xfId="8"/>
    <xf numFmtId="0" fontId="25" fillId="0" borderId="0" xfId="8" applyFont="1"/>
    <xf numFmtId="0" fontId="18" fillId="0" borderId="0" xfId="8" applyFont="1"/>
    <xf numFmtId="41" fontId="18" fillId="0" borderId="0" xfId="0" applyNumberFormat="1" applyFont="1" applyAlignment="1">
      <alignment horizontal="left"/>
    </xf>
    <xf numFmtId="165" fontId="3" fillId="0" borderId="0" xfId="1" applyNumberFormat="1" applyFont="1" applyFill="1" applyBorder="1" applyAlignment="1" applyProtection="1"/>
    <xf numFmtId="165" fontId="1" fillId="0" borderId="0" xfId="1" applyNumberFormat="1" applyFont="1" applyFill="1" applyProtection="1"/>
    <xf numFmtId="0" fontId="26" fillId="0" borderId="0" xfId="0" applyFont="1"/>
    <xf numFmtId="165" fontId="1" fillId="0" borderId="0" xfId="0" applyNumberFormat="1" applyFont="1"/>
    <xf numFmtId="14" fontId="1" fillId="0" borderId="0" xfId="0" applyNumberFormat="1" applyFont="1"/>
    <xf numFmtId="0" fontId="3" fillId="0" borderId="0" xfId="0" applyFont="1" applyAlignment="1">
      <alignment horizontal="center"/>
    </xf>
    <xf numFmtId="0" fontId="27" fillId="8" borderId="2" xfId="0" applyFont="1" applyFill="1" applyBorder="1" applyAlignment="1" applyProtection="1">
      <alignment vertical="center"/>
      <protection locked="0"/>
    </xf>
    <xf numFmtId="0" fontId="20" fillId="8" borderId="2" xfId="0" applyFont="1" applyFill="1" applyBorder="1" applyProtection="1">
      <protection locked="0"/>
    </xf>
    <xf numFmtId="0" fontId="20" fillId="8" borderId="2" xfId="8" applyFont="1" applyFill="1" applyBorder="1" applyProtection="1">
      <protection locked="0"/>
    </xf>
    <xf numFmtId="0" fontId="20" fillId="8" borderId="1" xfId="0" applyFont="1" applyFill="1" applyBorder="1" applyProtection="1">
      <protection locked="0"/>
    </xf>
    <xf numFmtId="0" fontId="20" fillId="8" borderId="1" xfId="8" applyFont="1" applyFill="1" applyBorder="1" applyProtection="1">
      <protection locked="0"/>
    </xf>
    <xf numFmtId="0" fontId="27" fillId="8" borderId="2" xfId="0" applyFont="1" applyFill="1" applyBorder="1" applyProtection="1">
      <protection locked="0"/>
    </xf>
    <xf numFmtId="0" fontId="27" fillId="8" borderId="1" xfId="0" applyFont="1" applyFill="1" applyBorder="1" applyProtection="1">
      <protection locked="0"/>
    </xf>
    <xf numFmtId="14" fontId="20" fillId="8" borderId="7" xfId="0" applyNumberFormat="1" applyFont="1" applyFill="1" applyBorder="1" applyProtection="1">
      <protection locked="0"/>
    </xf>
    <xf numFmtId="0" fontId="20" fillId="8" borderId="33" xfId="0" applyFont="1" applyFill="1" applyBorder="1" applyAlignment="1" applyProtection="1">
      <alignment horizontal="left"/>
      <protection locked="0"/>
    </xf>
    <xf numFmtId="165" fontId="20" fillId="8" borderId="2" xfId="1" applyNumberFormat="1" applyFont="1" applyFill="1" applyBorder="1" applyProtection="1">
      <protection locked="0"/>
    </xf>
    <xf numFmtId="0" fontId="20" fillId="8" borderId="31" xfId="0" applyFont="1" applyFill="1" applyBorder="1" applyAlignment="1" applyProtection="1">
      <alignment horizontal="left"/>
      <protection locked="0"/>
    </xf>
    <xf numFmtId="165" fontId="20" fillId="8" borderId="1" xfId="1" applyNumberFormat="1" applyFont="1" applyFill="1" applyBorder="1" applyProtection="1">
      <protection locked="0"/>
    </xf>
    <xf numFmtId="165" fontId="20" fillId="8" borderId="29" xfId="1" applyNumberFormat="1" applyFont="1" applyFill="1" applyBorder="1" applyProtection="1">
      <protection locked="0"/>
    </xf>
    <xf numFmtId="165" fontId="20" fillId="8" borderId="10" xfId="1" applyNumberFormat="1" applyFont="1" applyFill="1" applyBorder="1" applyProtection="1">
      <protection locked="0"/>
    </xf>
    <xf numFmtId="165" fontId="20" fillId="8" borderId="11" xfId="1" applyNumberFormat="1" applyFont="1" applyFill="1" applyBorder="1" applyProtection="1">
      <protection locked="0"/>
    </xf>
    <xf numFmtId="165" fontId="20" fillId="8" borderId="7" xfId="1" applyNumberFormat="1" applyFont="1" applyFill="1" applyBorder="1" applyProtection="1">
      <protection locked="0"/>
    </xf>
    <xf numFmtId="0" fontId="27" fillId="8" borderId="25" xfId="0" applyFont="1" applyFill="1" applyBorder="1" applyAlignment="1" applyProtection="1">
      <alignment horizontal="left"/>
      <protection locked="0"/>
    </xf>
    <xf numFmtId="165" fontId="20" fillId="8" borderId="37" xfId="1" applyNumberFormat="1" applyFont="1" applyFill="1" applyBorder="1" applyProtection="1">
      <protection locked="0"/>
    </xf>
    <xf numFmtId="0" fontId="27" fillId="8" borderId="1" xfId="0" applyFont="1" applyFill="1" applyBorder="1" applyAlignment="1" applyProtection="1">
      <alignment horizontal="left" vertical="center"/>
      <protection locked="0"/>
    </xf>
    <xf numFmtId="165" fontId="20" fillId="8" borderId="30" xfId="1" applyNumberFormat="1" applyFont="1" applyFill="1" applyBorder="1" applyProtection="1">
      <protection locked="0"/>
    </xf>
    <xf numFmtId="164" fontId="20" fillId="8" borderId="31" xfId="0" applyNumberFormat="1" applyFont="1" applyFill="1" applyBorder="1" applyProtection="1">
      <protection locked="0"/>
    </xf>
    <xf numFmtId="164" fontId="20" fillId="8" borderId="33" xfId="0" applyNumberFormat="1" applyFont="1" applyFill="1" applyBorder="1" applyProtection="1">
      <protection locked="0"/>
    </xf>
    <xf numFmtId="165" fontId="20" fillId="8" borderId="32" xfId="1" applyNumberFormat="1" applyFont="1" applyFill="1" applyBorder="1" applyProtection="1">
      <protection locked="0"/>
    </xf>
    <xf numFmtId="164" fontId="20" fillId="8" borderId="49" xfId="0" applyNumberFormat="1" applyFont="1" applyFill="1" applyBorder="1" applyProtection="1">
      <protection locked="0"/>
    </xf>
    <xf numFmtId="165" fontId="20" fillId="8" borderId="36" xfId="1" applyNumberFormat="1" applyFont="1" applyFill="1" applyBorder="1" applyAlignment="1" applyProtection="1">
      <alignment vertical="top"/>
      <protection locked="0"/>
    </xf>
    <xf numFmtId="0" fontId="20" fillId="10" borderId="0" xfId="0" applyFont="1" applyFill="1"/>
    <xf numFmtId="165" fontId="27" fillId="10" borderId="13" xfId="1" applyNumberFormat="1" applyFont="1" applyFill="1" applyBorder="1" applyProtection="1"/>
    <xf numFmtId="165" fontId="27" fillId="10" borderId="20" xfId="1" applyNumberFormat="1" applyFont="1" applyFill="1" applyBorder="1" applyProtection="1"/>
    <xf numFmtId="41" fontId="27" fillId="10" borderId="24" xfId="1" applyNumberFormat="1" applyFont="1" applyFill="1" applyBorder="1" applyAlignment="1" applyProtection="1">
      <alignment horizontal="center"/>
    </xf>
    <xf numFmtId="165" fontId="27" fillId="10" borderId="17" xfId="1" applyNumberFormat="1" applyFont="1" applyFill="1" applyBorder="1" applyProtection="1"/>
    <xf numFmtId="165" fontId="27" fillId="10" borderId="47" xfId="1" applyNumberFormat="1" applyFont="1" applyFill="1" applyBorder="1" applyProtection="1"/>
    <xf numFmtId="165" fontId="27" fillId="10" borderId="21" xfId="1" applyNumberFormat="1" applyFont="1" applyFill="1" applyBorder="1" applyProtection="1"/>
    <xf numFmtId="41" fontId="27" fillId="10" borderId="47" xfId="1" applyNumberFormat="1" applyFont="1" applyFill="1" applyBorder="1" applyProtection="1"/>
    <xf numFmtId="165" fontId="27" fillId="10" borderId="48" xfId="1" applyNumberFormat="1" applyFont="1" applyFill="1" applyBorder="1" applyProtection="1"/>
    <xf numFmtId="165" fontId="27" fillId="10" borderId="18" xfId="1" applyNumberFormat="1" applyFont="1" applyFill="1" applyBorder="1" applyProtection="1"/>
    <xf numFmtId="165" fontId="27" fillId="10" borderId="24" xfId="1" applyNumberFormat="1" applyFont="1" applyFill="1" applyBorder="1" applyProtection="1"/>
    <xf numFmtId="0" fontId="27" fillId="10" borderId="25" xfId="0" applyFont="1" applyFill="1" applyBorder="1" applyAlignment="1">
      <alignment horizontal="center" vertical="center"/>
    </xf>
    <xf numFmtId="165" fontId="27" fillId="10" borderId="0" xfId="1" applyNumberFormat="1" applyFont="1" applyFill="1" applyBorder="1" applyAlignment="1" applyProtection="1">
      <alignment horizontal="center"/>
    </xf>
    <xf numFmtId="165" fontId="27" fillId="10" borderId="12" xfId="1" applyNumberFormat="1" applyFont="1" applyFill="1" applyBorder="1" applyAlignment="1" applyProtection="1">
      <alignment horizontal="center"/>
    </xf>
    <xf numFmtId="0" fontId="27" fillId="10" borderId="48" xfId="0" applyFont="1" applyFill="1" applyBorder="1" applyAlignment="1">
      <alignment horizontal="center" vertical="center"/>
    </xf>
    <xf numFmtId="165" fontId="20" fillId="10" borderId="8" xfId="1" applyNumberFormat="1" applyFont="1" applyFill="1" applyBorder="1" applyProtection="1"/>
    <xf numFmtId="165" fontId="27" fillId="10" borderId="48" xfId="1" applyNumberFormat="1" applyFont="1" applyFill="1" applyBorder="1" applyAlignment="1" applyProtection="1"/>
    <xf numFmtId="165" fontId="20" fillId="10" borderId="12" xfId="1" applyNumberFormat="1" applyFont="1" applyFill="1" applyBorder="1" applyProtection="1"/>
    <xf numFmtId="165" fontId="27" fillId="10" borderId="22" xfId="1" applyNumberFormat="1" applyFont="1" applyFill="1" applyBorder="1" applyAlignment="1" applyProtection="1"/>
    <xf numFmtId="0" fontId="27" fillId="10" borderId="14" xfId="0" applyFont="1" applyFill="1" applyBorder="1" applyAlignment="1">
      <alignment vertical="center"/>
    </xf>
    <xf numFmtId="165" fontId="27" fillId="10" borderId="36" xfId="1" applyNumberFormat="1" applyFont="1" applyFill="1" applyBorder="1" applyAlignment="1" applyProtection="1">
      <alignment vertical="top"/>
    </xf>
    <xf numFmtId="165" fontId="27" fillId="10" borderId="27" xfId="1" applyNumberFormat="1" applyFont="1" applyFill="1" applyBorder="1" applyProtection="1"/>
    <xf numFmtId="165" fontId="38" fillId="10" borderId="0" xfId="1" applyNumberFormat="1" applyFont="1" applyFill="1" applyBorder="1" applyAlignment="1" applyProtection="1"/>
    <xf numFmtId="165" fontId="20" fillId="11" borderId="0" xfId="1" applyNumberFormat="1" applyFont="1" applyFill="1" applyBorder="1" applyProtection="1"/>
    <xf numFmtId="165" fontId="20" fillId="11" borderId="18" xfId="1" applyNumberFormat="1" applyFont="1" applyFill="1" applyBorder="1" applyProtection="1"/>
    <xf numFmtId="165" fontId="20" fillId="11" borderId="9" xfId="1" applyNumberFormat="1" applyFont="1" applyFill="1" applyBorder="1" applyProtection="1"/>
    <xf numFmtId="165" fontId="20" fillId="11" borderId="26" xfId="1" applyNumberFormat="1" applyFont="1" applyFill="1" applyBorder="1" applyProtection="1"/>
    <xf numFmtId="165" fontId="27" fillId="11" borderId="26" xfId="1" applyNumberFormat="1" applyFont="1" applyFill="1" applyBorder="1" applyProtection="1"/>
    <xf numFmtId="165" fontId="27" fillId="11" borderId="21" xfId="1" applyNumberFormat="1" applyFont="1" applyFill="1" applyBorder="1" applyProtection="1"/>
    <xf numFmtId="41" fontId="20" fillId="11" borderId="7" xfId="1" applyNumberFormat="1" applyFont="1" applyFill="1" applyBorder="1" applyAlignment="1" applyProtection="1">
      <alignment horizontal="center"/>
    </xf>
    <xf numFmtId="41" fontId="20" fillId="11" borderId="7" xfId="1" applyNumberFormat="1" applyFont="1" applyFill="1" applyBorder="1" applyProtection="1"/>
    <xf numFmtId="41" fontId="20" fillId="11" borderId="8" xfId="1" applyNumberFormat="1" applyFont="1" applyFill="1" applyBorder="1" applyAlignment="1" applyProtection="1">
      <alignment horizontal="center"/>
    </xf>
    <xf numFmtId="165" fontId="20" fillId="11" borderId="21" xfId="1" applyNumberFormat="1" applyFont="1" applyFill="1" applyBorder="1" applyProtection="1"/>
    <xf numFmtId="165" fontId="27" fillId="11" borderId="17" xfId="1" applyNumberFormat="1" applyFont="1" applyFill="1" applyBorder="1" applyProtection="1"/>
    <xf numFmtId="0" fontId="39" fillId="11" borderId="19" xfId="0" applyFont="1" applyFill="1" applyBorder="1" applyAlignment="1">
      <alignment horizontal="center"/>
    </xf>
    <xf numFmtId="165" fontId="20" fillId="11" borderId="19" xfId="1" applyNumberFormat="1" applyFont="1" applyFill="1" applyBorder="1" applyProtection="1"/>
    <xf numFmtId="165" fontId="27" fillId="11" borderId="16" xfId="1" applyNumberFormat="1" applyFont="1" applyFill="1" applyBorder="1" applyProtection="1"/>
    <xf numFmtId="41" fontId="20" fillId="11" borderId="32" xfId="1" applyNumberFormat="1" applyFont="1" applyFill="1" applyBorder="1" applyProtection="1"/>
    <xf numFmtId="0" fontId="39" fillId="11" borderId="2" xfId="0" applyFont="1" applyFill="1" applyBorder="1" applyAlignment="1">
      <alignment horizontal="center"/>
    </xf>
    <xf numFmtId="165" fontId="20" fillId="11" borderId="38" xfId="1" applyNumberFormat="1" applyFont="1" applyFill="1" applyBorder="1" applyProtection="1"/>
    <xf numFmtId="165" fontId="20" fillId="11" borderId="2" xfId="1" applyNumberFormat="1" applyFont="1" applyFill="1" applyBorder="1" applyProtection="1"/>
    <xf numFmtId="165" fontId="20" fillId="11" borderId="30" xfId="1" applyNumberFormat="1" applyFont="1" applyFill="1" applyBorder="1" applyProtection="1"/>
    <xf numFmtId="0" fontId="1" fillId="12" borderId="42" xfId="0" applyFont="1" applyFill="1" applyBorder="1"/>
    <xf numFmtId="0" fontId="1" fillId="12" borderId="18" xfId="0" applyFont="1" applyFill="1" applyBorder="1"/>
    <xf numFmtId="0" fontId="1" fillId="12" borderId="18" xfId="8" applyFill="1" applyBorder="1"/>
    <xf numFmtId="0" fontId="3" fillId="12" borderId="18" xfId="0" applyFont="1" applyFill="1" applyBorder="1"/>
    <xf numFmtId="0" fontId="3" fillId="12" borderId="18" xfId="0" applyFont="1" applyFill="1" applyBorder="1" applyAlignment="1">
      <alignment horizontal="right"/>
    </xf>
    <xf numFmtId="0" fontId="24" fillId="12" borderId="18" xfId="0" applyFont="1" applyFill="1" applyBorder="1"/>
    <xf numFmtId="0" fontId="5" fillId="12" borderId="18" xfId="0" applyFont="1" applyFill="1" applyBorder="1" applyAlignment="1">
      <alignment horizontal="center"/>
    </xf>
    <xf numFmtId="0" fontId="1" fillId="12" borderId="18" xfId="0" applyFont="1" applyFill="1" applyBorder="1" applyAlignment="1">
      <alignment horizontal="left"/>
    </xf>
    <xf numFmtId="41" fontId="3" fillId="12" borderId="18" xfId="0" applyNumberFormat="1" applyFont="1" applyFill="1" applyBorder="1" applyAlignment="1">
      <alignment horizontal="left"/>
    </xf>
    <xf numFmtId="41" fontId="3" fillId="12" borderId="52" xfId="0" applyNumberFormat="1" applyFont="1" applyFill="1" applyBorder="1" applyAlignment="1">
      <alignment horizontal="left"/>
    </xf>
    <xf numFmtId="0" fontId="3" fillId="12" borderId="44" xfId="0" applyFont="1" applyFill="1" applyBorder="1"/>
    <xf numFmtId="0" fontId="3" fillId="12" borderId="52" xfId="0" applyFont="1" applyFill="1" applyBorder="1" applyAlignment="1">
      <alignment horizontal="left"/>
    </xf>
    <xf numFmtId="0" fontId="3" fillId="12" borderId="18" xfId="0" applyFont="1" applyFill="1" applyBorder="1" applyAlignment="1">
      <alignment horizontal="left"/>
    </xf>
    <xf numFmtId="165" fontId="3" fillId="12" borderId="18" xfId="1" applyNumberFormat="1" applyFont="1" applyFill="1" applyBorder="1" applyProtection="1"/>
    <xf numFmtId="0" fontId="3" fillId="12" borderId="18" xfId="0" applyFont="1" applyFill="1" applyBorder="1" applyAlignment="1">
      <alignment vertical="center"/>
    </xf>
    <xf numFmtId="165" fontId="3" fillId="12" borderId="18" xfId="1" applyNumberFormat="1" applyFont="1" applyFill="1" applyBorder="1" applyAlignment="1" applyProtection="1"/>
    <xf numFmtId="165" fontId="3" fillId="12" borderId="26" xfId="1" applyNumberFormat="1" applyFont="1" applyFill="1" applyBorder="1" applyAlignment="1" applyProtection="1"/>
    <xf numFmtId="0" fontId="1" fillId="12" borderId="23" xfId="0" applyFont="1" applyFill="1" applyBorder="1"/>
    <xf numFmtId="0" fontId="3" fillId="12" borderId="23" xfId="0" applyFont="1" applyFill="1" applyBorder="1"/>
    <xf numFmtId="0" fontId="1" fillId="12" borderId="0" xfId="0" applyFont="1" applyFill="1"/>
    <xf numFmtId="0" fontId="3" fillId="12" borderId="0" xfId="0" applyFont="1" applyFill="1"/>
    <xf numFmtId="0" fontId="1" fillId="12" borderId="0" xfId="8" applyFill="1"/>
    <xf numFmtId="0" fontId="3" fillId="12" borderId="0" xfId="8" applyFont="1" applyFill="1"/>
    <xf numFmtId="0" fontId="3" fillId="12" borderId="25" xfId="8" applyFont="1" applyFill="1" applyBorder="1" applyAlignment="1">
      <alignment horizontal="right" vertical="center"/>
    </xf>
    <xf numFmtId="166" fontId="23" fillId="12" borderId="0" xfId="3" applyNumberFormat="1" applyFont="1" applyFill="1" applyBorder="1" applyAlignment="1" applyProtection="1">
      <alignment horizontal="left" indent="3"/>
    </xf>
    <xf numFmtId="0" fontId="12" fillId="12" borderId="0" xfId="8" applyFont="1" applyFill="1"/>
    <xf numFmtId="0" fontId="4" fillId="12" borderId="0" xfId="8" applyFont="1" applyFill="1"/>
    <xf numFmtId="0" fontId="1" fillId="12" borderId="0" xfId="8" applyFill="1" applyAlignment="1">
      <alignment horizontal="center"/>
    </xf>
    <xf numFmtId="0" fontId="3" fillId="12" borderId="0" xfId="0" applyFont="1" applyFill="1" applyAlignment="1">
      <alignment horizontal="left"/>
    </xf>
    <xf numFmtId="0" fontId="3" fillId="12" borderId="25" xfId="0" applyFont="1" applyFill="1" applyBorder="1" applyAlignment="1">
      <alignment horizontal="right" vertical="center"/>
    </xf>
    <xf numFmtId="0" fontId="3" fillId="12" borderId="0" xfId="0" applyFont="1" applyFill="1" applyAlignment="1">
      <alignment horizontal="center" vertical="center"/>
    </xf>
    <xf numFmtId="0" fontId="3" fillId="12" borderId="25" xfId="0" applyFont="1" applyFill="1" applyBorder="1" applyAlignment="1">
      <alignment horizontal="right"/>
    </xf>
    <xf numFmtId="0" fontId="3" fillId="12" borderId="0" xfId="0" applyFont="1" applyFill="1" applyAlignment="1">
      <alignment horizontal="right"/>
    </xf>
    <xf numFmtId="9" fontId="3" fillId="12" borderId="25" xfId="0" applyNumberFormat="1" applyFont="1" applyFill="1" applyBorder="1"/>
    <xf numFmtId="9" fontId="3" fillId="12" borderId="0" xfId="0" applyNumberFormat="1" applyFont="1" applyFill="1"/>
    <xf numFmtId="9" fontId="3" fillId="12" borderId="0" xfId="0" applyNumberFormat="1" applyFont="1" applyFill="1" applyAlignment="1">
      <alignment horizontal="right"/>
    </xf>
    <xf numFmtId="0" fontId="3" fillId="12" borderId="0" xfId="0" applyFont="1" applyFill="1" applyAlignment="1">
      <alignment horizontal="center"/>
    </xf>
    <xf numFmtId="0" fontId="1" fillId="12" borderId="25" xfId="0" applyFont="1" applyFill="1" applyBorder="1" applyAlignment="1">
      <alignment horizontal="left"/>
    </xf>
    <xf numFmtId="0" fontId="1" fillId="12" borderId="34" xfId="0" applyFont="1" applyFill="1" applyBorder="1" applyAlignment="1">
      <alignment horizontal="left"/>
    </xf>
    <xf numFmtId="41" fontId="3" fillId="12" borderId="25" xfId="0" applyNumberFormat="1" applyFont="1" applyFill="1" applyBorder="1" applyAlignment="1">
      <alignment horizontal="left"/>
    </xf>
    <xf numFmtId="165" fontId="1" fillId="12" borderId="0" xfId="1" applyNumberFormat="1" applyFont="1" applyFill="1" applyBorder="1" applyProtection="1"/>
    <xf numFmtId="41" fontId="1" fillId="12" borderId="0" xfId="0" applyNumberFormat="1" applyFont="1" applyFill="1"/>
    <xf numFmtId="165" fontId="3" fillId="12" borderId="0" xfId="1" applyNumberFormat="1" applyFont="1" applyFill="1" applyBorder="1" applyProtection="1"/>
    <xf numFmtId="41" fontId="1" fillId="12" borderId="51" xfId="0" applyNumberFormat="1" applyFont="1" applyFill="1" applyBorder="1" applyAlignment="1">
      <alignment horizontal="left"/>
    </xf>
    <xf numFmtId="165" fontId="1" fillId="12" borderId="15" xfId="1" applyNumberFormat="1" applyFont="1" applyFill="1" applyBorder="1" applyProtection="1"/>
    <xf numFmtId="41" fontId="1" fillId="12" borderId="15" xfId="0" applyNumberFormat="1" applyFont="1" applyFill="1" applyBorder="1"/>
    <xf numFmtId="165" fontId="3" fillId="12" borderId="15" xfId="1" applyNumberFormat="1" applyFont="1" applyFill="1" applyBorder="1" applyAlignment="1" applyProtection="1">
      <alignment horizontal="center"/>
    </xf>
    <xf numFmtId="165" fontId="1" fillId="12" borderId="15" xfId="1" applyNumberFormat="1" applyFont="1" applyFill="1" applyBorder="1" applyAlignment="1" applyProtection="1">
      <alignment horizontal="center"/>
    </xf>
    <xf numFmtId="0" fontId="3" fillId="12" borderId="45" xfId="0" applyFont="1" applyFill="1" applyBorder="1" applyAlignment="1">
      <alignment vertical="center"/>
    </xf>
    <xf numFmtId="165" fontId="1" fillId="12" borderId="35" xfId="1" applyNumberFormat="1" applyFont="1" applyFill="1" applyBorder="1" applyAlignment="1" applyProtection="1">
      <alignment vertical="top"/>
    </xf>
    <xf numFmtId="41" fontId="1" fillId="12" borderId="35" xfId="0" applyNumberFormat="1" applyFont="1" applyFill="1" applyBorder="1" applyAlignment="1">
      <alignment vertical="top"/>
    </xf>
    <xf numFmtId="165" fontId="3" fillId="12" borderId="35" xfId="1" applyNumberFormat="1" applyFont="1" applyFill="1" applyBorder="1" applyAlignment="1" applyProtection="1">
      <alignment vertical="top"/>
    </xf>
    <xf numFmtId="165" fontId="3" fillId="12" borderId="44" xfId="1" applyNumberFormat="1" applyFont="1" applyFill="1" applyBorder="1" applyAlignment="1" applyProtection="1">
      <alignment horizontal="right" vertical="top"/>
    </xf>
    <xf numFmtId="165" fontId="3" fillId="12" borderId="45" xfId="1" applyNumberFormat="1" applyFont="1" applyFill="1" applyBorder="1" applyAlignment="1" applyProtection="1">
      <alignment vertical="top"/>
    </xf>
    <xf numFmtId="0" fontId="1" fillId="12" borderId="25" xfId="0" applyFont="1" applyFill="1" applyBorder="1"/>
    <xf numFmtId="41" fontId="3" fillId="12" borderId="0" xfId="0" applyNumberFormat="1" applyFont="1" applyFill="1"/>
    <xf numFmtId="41" fontId="3" fillId="12" borderId="6" xfId="0" applyNumberFormat="1" applyFont="1" applyFill="1" applyBorder="1" applyAlignment="1">
      <alignment horizontal="right"/>
    </xf>
    <xf numFmtId="165" fontId="3" fillId="12" borderId="5" xfId="1" applyNumberFormat="1" applyFont="1" applyFill="1" applyBorder="1" applyAlignment="1" applyProtection="1"/>
    <xf numFmtId="165" fontId="3" fillId="12" borderId="0" xfId="1" applyNumberFormat="1" applyFont="1" applyFill="1" applyBorder="1" applyAlignment="1" applyProtection="1"/>
    <xf numFmtId="165" fontId="3" fillId="12" borderId="6" xfId="1" applyNumberFormat="1" applyFont="1" applyFill="1" applyBorder="1" applyAlignment="1" applyProtection="1">
      <alignment horizontal="right"/>
    </xf>
    <xf numFmtId="41" fontId="3" fillId="12" borderId="0" xfId="0" applyNumberFormat="1" applyFont="1" applyFill="1" applyAlignment="1">
      <alignment horizontal="right"/>
    </xf>
    <xf numFmtId="0" fontId="3" fillId="12" borderId="51" xfId="0" applyFont="1" applyFill="1" applyBorder="1" applyAlignment="1">
      <alignment horizontal="left"/>
    </xf>
    <xf numFmtId="0" fontId="1" fillId="12" borderId="15" xfId="0" applyFont="1" applyFill="1" applyBorder="1"/>
    <xf numFmtId="165" fontId="3" fillId="12" borderId="15" xfId="1" applyNumberFormat="1" applyFont="1" applyFill="1" applyBorder="1" applyProtection="1"/>
    <xf numFmtId="0" fontId="3" fillId="12" borderId="25" xfId="0" applyFont="1" applyFill="1" applyBorder="1" applyAlignment="1">
      <alignment horizontal="left"/>
    </xf>
    <xf numFmtId="165" fontId="31" fillId="12" borderId="18" xfId="1" applyNumberFormat="1" applyFont="1" applyFill="1" applyBorder="1" applyProtection="1"/>
    <xf numFmtId="41" fontId="1" fillId="12" borderId="0" xfId="1" applyNumberFormat="1" applyFont="1" applyFill="1" applyBorder="1" applyAlignment="1" applyProtection="1">
      <alignment horizontal="center"/>
    </xf>
    <xf numFmtId="41" fontId="1" fillId="12" borderId="0" xfId="1" applyNumberFormat="1" applyFont="1" applyFill="1" applyBorder="1" applyProtection="1"/>
    <xf numFmtId="165" fontId="1" fillId="12" borderId="50" xfId="1" applyNumberFormat="1" applyFont="1" applyFill="1" applyBorder="1" applyProtection="1"/>
    <xf numFmtId="0" fontId="1" fillId="12" borderId="0" xfId="0" applyFont="1" applyFill="1" applyAlignment="1">
      <alignment horizontal="center"/>
    </xf>
    <xf numFmtId="165" fontId="3" fillId="12" borderId="0" xfId="1" applyNumberFormat="1" applyFont="1" applyFill="1" applyBorder="1" applyAlignment="1" applyProtection="1">
      <alignment horizontal="center"/>
    </xf>
    <xf numFmtId="165" fontId="31" fillId="12" borderId="18" xfId="1" applyNumberFormat="1" applyFont="1" applyFill="1" applyBorder="1" applyAlignment="1" applyProtection="1">
      <alignment horizontal="center"/>
    </xf>
    <xf numFmtId="165" fontId="1" fillId="12" borderId="5" xfId="1" applyNumberFormat="1" applyFont="1" applyFill="1" applyBorder="1" applyProtection="1"/>
    <xf numFmtId="0" fontId="3" fillId="12" borderId="53" xfId="0" applyFont="1" applyFill="1" applyBorder="1" applyAlignment="1">
      <alignment vertical="center"/>
    </xf>
    <xf numFmtId="0" fontId="1" fillId="12" borderId="25" xfId="0" applyFont="1" applyFill="1" applyBorder="1" applyAlignment="1">
      <alignment horizontal="right"/>
    </xf>
    <xf numFmtId="0" fontId="15" fillId="12" borderId="0" xfId="0" applyFont="1" applyFill="1"/>
    <xf numFmtId="0" fontId="3" fillId="12" borderId="0" xfId="0" applyFont="1" applyFill="1" applyAlignment="1">
      <alignment vertical="center"/>
    </xf>
    <xf numFmtId="0" fontId="4" fillId="12" borderId="0" xfId="0" applyFont="1" applyFill="1" applyAlignment="1">
      <alignment horizontal="center"/>
    </xf>
    <xf numFmtId="0" fontId="1" fillId="12" borderId="0" xfId="0" applyFont="1" applyFill="1" applyAlignment="1">
      <alignment horizontal="left"/>
    </xf>
    <xf numFmtId="0" fontId="1" fillId="12" borderId="31" xfId="0" applyFont="1" applyFill="1" applyBorder="1" applyAlignment="1">
      <alignment horizontal="right"/>
    </xf>
    <xf numFmtId="0" fontId="15" fillId="12" borderId="2" xfId="0" applyFont="1" applyFill="1" applyBorder="1"/>
    <xf numFmtId="0" fontId="3" fillId="12" borderId="3" xfId="0" applyFont="1" applyFill="1" applyBorder="1" applyAlignment="1">
      <alignment vertical="center"/>
    </xf>
    <xf numFmtId="0" fontId="16" fillId="12" borderId="0" xfId="0" applyFont="1" applyFill="1"/>
    <xf numFmtId="0" fontId="16" fillId="12" borderId="2" xfId="0" applyFont="1" applyFill="1" applyBorder="1"/>
    <xf numFmtId="0" fontId="3" fillId="12" borderId="3" xfId="0" applyFont="1" applyFill="1" applyBorder="1"/>
    <xf numFmtId="0" fontId="19" fillId="12" borderId="0" xfId="0" applyFont="1" applyFill="1"/>
    <xf numFmtId="0" fontId="19" fillId="12" borderId="2" xfId="0" applyFont="1" applyFill="1" applyBorder="1"/>
    <xf numFmtId="0" fontId="1" fillId="12" borderId="46" xfId="0" applyFont="1" applyFill="1" applyBorder="1" applyAlignment="1">
      <alignment horizontal="right"/>
    </xf>
    <xf numFmtId="0" fontId="19" fillId="12" borderId="19" xfId="0" applyFont="1" applyFill="1" applyBorder="1"/>
    <xf numFmtId="0" fontId="3" fillId="13" borderId="0" xfId="0" applyFont="1" applyFill="1" applyAlignment="1">
      <alignment horizontal="center"/>
    </xf>
    <xf numFmtId="0" fontId="3" fillId="13" borderId="25" xfId="0" applyFont="1" applyFill="1" applyBorder="1" applyAlignment="1">
      <alignment horizontal="center"/>
    </xf>
    <xf numFmtId="0" fontId="13" fillId="13" borderId="25" xfId="0" applyFont="1" applyFill="1" applyBorder="1" applyAlignment="1">
      <alignment horizontal="center"/>
    </xf>
    <xf numFmtId="0" fontId="1" fillId="13" borderId="0" xfId="0" applyFont="1" applyFill="1"/>
    <xf numFmtId="165" fontId="20" fillId="2" borderId="42" xfId="1" applyNumberFormat="1" applyFont="1" applyFill="1" applyBorder="1" applyProtection="1"/>
    <xf numFmtId="41" fontId="20" fillId="2" borderId="23" xfId="0" applyNumberFormat="1" applyFont="1" applyFill="1" applyBorder="1"/>
    <xf numFmtId="165" fontId="27" fillId="2" borderId="43" xfId="1" applyNumberFormat="1" applyFont="1" applyFill="1" applyBorder="1" applyProtection="1"/>
    <xf numFmtId="165" fontId="27" fillId="2" borderId="42" xfId="1" applyNumberFormat="1" applyFont="1" applyFill="1" applyBorder="1" applyProtection="1"/>
    <xf numFmtId="0" fontId="1" fillId="12" borderId="13" xfId="0" applyFont="1" applyFill="1" applyBorder="1" applyAlignment="1">
      <alignment horizontal="left"/>
    </xf>
    <xf numFmtId="10" fontId="1" fillId="0" borderId="0" xfId="9" applyNumberFormat="1" applyFont="1"/>
    <xf numFmtId="165" fontId="20" fillId="8" borderId="1" xfId="1" applyNumberFormat="1" applyFont="1" applyFill="1" applyBorder="1" applyProtection="1"/>
    <xf numFmtId="0" fontId="3" fillId="0" borderId="43" xfId="0" applyFont="1" applyBorder="1"/>
    <xf numFmtId="0" fontId="1" fillId="0" borderId="23" xfId="0" applyFont="1" applyBorder="1" applyAlignment="1">
      <alignment horizontal="left"/>
    </xf>
    <xf numFmtId="43" fontId="1" fillId="0" borderId="23" xfId="0" applyNumberFormat="1" applyFont="1" applyBorder="1"/>
    <xf numFmtId="41" fontId="1" fillId="0" borderId="23" xfId="0" applyNumberFormat="1" applyFont="1" applyBorder="1"/>
    <xf numFmtId="0" fontId="1" fillId="0" borderId="23" xfId="0" applyFont="1" applyBorder="1"/>
    <xf numFmtId="0" fontId="1" fillId="0" borderId="42" xfId="0" applyFont="1" applyBorder="1"/>
    <xf numFmtId="165" fontId="1" fillId="8" borderId="25" xfId="1" applyNumberFormat="1" applyFont="1" applyFill="1" applyBorder="1"/>
    <xf numFmtId="165" fontId="1" fillId="13" borderId="25" xfId="1" applyNumberFormat="1" applyFont="1" applyFill="1" applyBorder="1"/>
    <xf numFmtId="165" fontId="1" fillId="13" borderId="0" xfId="1" applyNumberFormat="1" applyFont="1" applyFill="1" applyBorder="1" applyProtection="1"/>
    <xf numFmtId="43" fontId="20" fillId="13" borderId="0" xfId="1" applyFont="1" applyFill="1" applyBorder="1" applyProtection="1"/>
    <xf numFmtId="43" fontId="20" fillId="13" borderId="9" xfId="1" applyFont="1" applyFill="1" applyBorder="1" applyProtection="1"/>
    <xf numFmtId="165" fontId="27" fillId="2" borderId="23" xfId="1" applyNumberFormat="1" applyFont="1" applyFill="1" applyBorder="1" applyProtection="1"/>
    <xf numFmtId="165" fontId="20" fillId="2" borderId="23" xfId="1" applyNumberFormat="1" applyFont="1" applyFill="1" applyBorder="1" applyProtection="1"/>
    <xf numFmtId="165" fontId="20" fillId="2" borderId="30" xfId="1" applyNumberFormat="1" applyFont="1" applyFill="1" applyBorder="1" applyProtection="1">
      <protection locked="0"/>
    </xf>
    <xf numFmtId="165" fontId="1" fillId="8" borderId="1" xfId="1" applyNumberFormat="1" applyFont="1" applyFill="1" applyBorder="1" applyProtection="1">
      <protection locked="0"/>
    </xf>
    <xf numFmtId="0" fontId="43" fillId="0" borderId="0" xfId="0" applyFont="1" applyAlignment="1">
      <alignment horizontal="left"/>
    </xf>
    <xf numFmtId="165" fontId="1" fillId="13" borderId="33" xfId="1" applyNumberFormat="1" applyFont="1" applyFill="1" applyBorder="1"/>
    <xf numFmtId="0" fontId="44" fillId="0" borderId="2" xfId="0" applyFont="1" applyBorder="1" applyAlignment="1">
      <alignment horizontal="left"/>
    </xf>
    <xf numFmtId="43" fontId="1" fillId="0" borderId="2" xfId="0" applyNumberFormat="1" applyFont="1" applyBorder="1"/>
    <xf numFmtId="165" fontId="27" fillId="10" borderId="63" xfId="1" applyNumberFormat="1" applyFont="1" applyFill="1" applyBorder="1" applyProtection="1"/>
    <xf numFmtId="41" fontId="27" fillId="10" borderId="48" xfId="1" applyNumberFormat="1" applyFont="1" applyFill="1" applyBorder="1" applyProtection="1"/>
    <xf numFmtId="41" fontId="27" fillId="10" borderId="63" xfId="1" applyNumberFormat="1" applyFont="1" applyFill="1" applyBorder="1" applyProtection="1"/>
    <xf numFmtId="165" fontId="27" fillId="10" borderId="64" xfId="1" applyNumberFormat="1" applyFont="1" applyFill="1" applyBorder="1" applyProtection="1"/>
    <xf numFmtId="0" fontId="3" fillId="12" borderId="3" xfId="0" applyFont="1" applyFill="1" applyBorder="1" applyAlignment="1">
      <alignment horizontal="right" vertical="center"/>
    </xf>
    <xf numFmtId="0" fontId="34" fillId="0" borderId="60" xfId="0" applyFont="1" applyBorder="1"/>
    <xf numFmtId="0" fontId="27" fillId="2" borderId="2" xfId="0" applyFont="1" applyFill="1" applyBorder="1" applyAlignment="1" applyProtection="1">
      <alignment horizontal="right"/>
      <protection locked="0"/>
    </xf>
    <xf numFmtId="0" fontId="27" fillId="2" borderId="2" xfId="8" applyFont="1" applyFill="1" applyBorder="1" applyAlignment="1" applyProtection="1">
      <alignment horizontal="right"/>
      <protection locked="0"/>
    </xf>
    <xf numFmtId="165" fontId="27" fillId="10" borderId="5" xfId="1" applyNumberFormat="1" applyFont="1" applyFill="1" applyBorder="1" applyAlignment="1" applyProtection="1">
      <alignment horizontal="right"/>
    </xf>
    <xf numFmtId="165" fontId="27" fillId="10" borderId="34" xfId="1" applyNumberFormat="1" applyFont="1" applyFill="1" applyBorder="1" applyAlignment="1" applyProtection="1">
      <alignment horizontal="right"/>
    </xf>
    <xf numFmtId="0" fontId="20" fillId="0" borderId="0" xfId="0" applyFont="1" applyAlignment="1">
      <alignment vertical="center" wrapText="1"/>
    </xf>
    <xf numFmtId="0" fontId="0" fillId="0" borderId="0" xfId="0" applyAlignment="1">
      <alignment wrapText="1"/>
    </xf>
    <xf numFmtId="0" fontId="1" fillId="0" borderId="0" xfId="0" applyFont="1" applyAlignment="1">
      <alignment wrapText="1"/>
    </xf>
    <xf numFmtId="0" fontId="20" fillId="0" borderId="0" xfId="0" applyFont="1" applyAlignment="1">
      <alignment wrapText="1"/>
    </xf>
    <xf numFmtId="0" fontId="3" fillId="12" borderId="0" xfId="8" applyFont="1" applyFill="1" applyAlignment="1">
      <alignment horizontal="right" vertical="center"/>
    </xf>
    <xf numFmtId="0" fontId="3" fillId="12" borderId="0" xfId="8" applyFont="1" applyFill="1" applyAlignment="1">
      <alignment horizontal="right"/>
    </xf>
    <xf numFmtId="0" fontId="24" fillId="12" borderId="43" xfId="8" applyFont="1" applyFill="1" applyBorder="1"/>
    <xf numFmtId="0" fontId="24" fillId="12" borderId="23" xfId="8" applyFont="1" applyFill="1" applyBorder="1"/>
    <xf numFmtId="0" fontId="1" fillId="12" borderId="25" xfId="8" applyFill="1" applyBorder="1"/>
    <xf numFmtId="166" fontId="1" fillId="2" borderId="18" xfId="3" applyNumberFormat="1" applyFont="1" applyFill="1" applyBorder="1" applyAlignment="1" applyProtection="1"/>
    <xf numFmtId="0" fontId="1" fillId="12" borderId="34" xfId="8" applyFill="1" applyBorder="1"/>
    <xf numFmtId="0" fontId="1" fillId="12" borderId="9" xfId="8" applyFill="1" applyBorder="1"/>
    <xf numFmtId="166" fontId="1" fillId="12" borderId="26" xfId="3" applyNumberFormat="1" applyFont="1" applyFill="1" applyBorder="1" applyAlignment="1" applyProtection="1"/>
    <xf numFmtId="0" fontId="24" fillId="12" borderId="43" xfId="8" applyFont="1" applyFill="1" applyBorder="1" applyAlignment="1">
      <alignment vertical="center"/>
    </xf>
    <xf numFmtId="0" fontId="24" fillId="12" borderId="23" xfId="8" applyFont="1" applyFill="1" applyBorder="1" applyAlignment="1">
      <alignment vertical="center"/>
    </xf>
    <xf numFmtId="0" fontId="24" fillId="2" borderId="42" xfId="8" applyFont="1" applyFill="1" applyBorder="1" applyAlignment="1">
      <alignment vertical="center"/>
    </xf>
    <xf numFmtId="0" fontId="1" fillId="12" borderId="25" xfId="8" applyFill="1" applyBorder="1" applyAlignment="1">
      <alignment vertical="center"/>
    </xf>
    <xf numFmtId="0" fontId="1" fillId="12" borderId="0" xfId="8" applyFill="1" applyAlignment="1">
      <alignment vertical="center"/>
    </xf>
    <xf numFmtId="10" fontId="1" fillId="12" borderId="18" xfId="8" applyNumberFormat="1" applyFill="1" applyBorder="1"/>
    <xf numFmtId="0" fontId="1" fillId="12" borderId="25" xfId="0" applyFont="1" applyFill="1" applyBorder="1" applyAlignment="1">
      <alignment vertical="center"/>
    </xf>
    <xf numFmtId="0" fontId="1" fillId="12" borderId="0" xfId="0" applyFont="1" applyFill="1" applyAlignment="1">
      <alignment vertical="center"/>
    </xf>
    <xf numFmtId="10" fontId="1" fillId="12" borderId="26" xfId="0" applyNumberFormat="1" applyFont="1" applyFill="1" applyBorder="1"/>
    <xf numFmtId="0" fontId="3" fillId="12" borderId="39" xfId="0" applyFont="1" applyFill="1" applyBorder="1" applyAlignment="1">
      <alignment vertical="center"/>
    </xf>
    <xf numFmtId="0" fontId="3" fillId="12" borderId="28" xfId="0" applyFont="1" applyFill="1" applyBorder="1" applyAlignment="1">
      <alignment horizontal="left" vertical="center"/>
    </xf>
    <xf numFmtId="0" fontId="3" fillId="12" borderId="39" xfId="0" applyFont="1" applyFill="1" applyBorder="1" applyAlignment="1">
      <alignment horizontal="right" vertical="center"/>
    </xf>
    <xf numFmtId="10" fontId="3" fillId="2" borderId="16" xfId="0" applyNumberFormat="1" applyFont="1" applyFill="1" applyBorder="1" applyAlignment="1">
      <alignment vertical="center"/>
    </xf>
    <xf numFmtId="10" fontId="1" fillId="12" borderId="18" xfId="0" applyNumberFormat="1" applyFont="1" applyFill="1" applyBorder="1"/>
    <xf numFmtId="0" fontId="34" fillId="0" borderId="0" xfId="0" applyFont="1"/>
    <xf numFmtId="0" fontId="46" fillId="0" borderId="0" xfId="0" applyFont="1" applyAlignment="1">
      <alignment wrapText="1"/>
    </xf>
    <xf numFmtId="0" fontId="3" fillId="0" borderId="0" xfId="0" applyFont="1" applyAlignment="1">
      <alignment wrapText="1"/>
    </xf>
    <xf numFmtId="0" fontId="1" fillId="0" borderId="0" xfId="0" applyFont="1" applyAlignment="1">
      <alignment vertical="center" wrapText="1"/>
    </xf>
    <xf numFmtId="0" fontId="24" fillId="12" borderId="43" xfId="0" applyFont="1" applyFill="1" applyBorder="1" applyAlignment="1">
      <alignment vertical="center"/>
    </xf>
    <xf numFmtId="10" fontId="3" fillId="12" borderId="42" xfId="0" applyNumberFormat="1" applyFont="1" applyFill="1" applyBorder="1"/>
    <xf numFmtId="10" fontId="1" fillId="12" borderId="26" xfId="8" applyNumberFormat="1" applyFill="1" applyBorder="1"/>
    <xf numFmtId="0" fontId="1" fillId="12" borderId="25" xfId="8" applyFill="1" applyBorder="1" applyAlignment="1">
      <alignment horizontal="right"/>
    </xf>
    <xf numFmtId="0" fontId="1" fillId="12" borderId="34" xfId="8" applyFill="1" applyBorder="1" applyAlignment="1">
      <alignment horizontal="right"/>
    </xf>
    <xf numFmtId="0" fontId="1" fillId="12" borderId="25" xfId="8" applyFill="1" applyBorder="1" applyAlignment="1">
      <alignment horizontal="right" vertical="center"/>
    </xf>
    <xf numFmtId="0" fontId="1" fillId="12" borderId="25" xfId="0" applyFont="1" applyFill="1" applyBorder="1" applyAlignment="1">
      <alignment horizontal="right" vertical="center"/>
    </xf>
    <xf numFmtId="0" fontId="1" fillId="12" borderId="34" xfId="0" applyFont="1" applyFill="1" applyBorder="1" applyAlignment="1">
      <alignment horizontal="right"/>
    </xf>
    <xf numFmtId="0" fontId="1" fillId="12" borderId="34" xfId="0" applyFont="1" applyFill="1" applyBorder="1" applyAlignment="1">
      <alignment horizontal="right" vertical="center"/>
    </xf>
    <xf numFmtId="164" fontId="0" fillId="0" borderId="0" xfId="9" applyNumberFormat="1" applyFont="1" applyFill="1" applyAlignment="1"/>
    <xf numFmtId="0" fontId="27" fillId="13" borderId="25" xfId="0" applyFont="1" applyFill="1" applyBorder="1" applyAlignment="1">
      <alignment horizontal="right"/>
    </xf>
    <xf numFmtId="0" fontId="31" fillId="13" borderId="0" xfId="0" applyFont="1" applyFill="1" applyAlignment="1">
      <alignment horizontal="right"/>
    </xf>
    <xf numFmtId="165" fontId="20" fillId="13" borderId="8" xfId="1" applyNumberFormat="1" applyFont="1" applyFill="1" applyBorder="1" applyProtection="1"/>
    <xf numFmtId="165" fontId="27" fillId="13" borderId="5" xfId="1" applyNumberFormat="1" applyFont="1" applyFill="1" applyBorder="1" applyAlignment="1" applyProtection="1">
      <alignment horizontal="right"/>
    </xf>
    <xf numFmtId="165" fontId="31" fillId="13" borderId="0" xfId="1" applyNumberFormat="1" applyFont="1" applyFill="1" applyBorder="1" applyAlignment="1" applyProtection="1">
      <alignment horizontal="right"/>
    </xf>
    <xf numFmtId="165" fontId="20" fillId="13" borderId="12" xfId="1" applyNumberFormat="1" applyFont="1" applyFill="1" applyBorder="1" applyProtection="1"/>
    <xf numFmtId="41" fontId="27" fillId="13" borderId="25" xfId="0" applyNumberFormat="1" applyFont="1" applyFill="1" applyBorder="1" applyAlignment="1">
      <alignment horizontal="right"/>
    </xf>
    <xf numFmtId="41" fontId="27" fillId="13" borderId="0" xfId="0" applyNumberFormat="1" applyFont="1" applyFill="1" applyAlignment="1">
      <alignment horizontal="right"/>
    </xf>
    <xf numFmtId="165" fontId="20" fillId="13" borderId="12" xfId="1" applyNumberFormat="1" applyFont="1" applyFill="1" applyBorder="1" applyAlignment="1" applyProtection="1"/>
    <xf numFmtId="0" fontId="27" fillId="13" borderId="34" xfId="0" applyFont="1" applyFill="1" applyBorder="1" applyAlignment="1">
      <alignment horizontal="right"/>
    </xf>
    <xf numFmtId="0" fontId="31" fillId="13" borderId="9" xfId="0" applyFont="1" applyFill="1" applyBorder="1" applyAlignment="1">
      <alignment horizontal="right"/>
    </xf>
    <xf numFmtId="165" fontId="27" fillId="13" borderId="24" xfId="1" applyNumberFormat="1" applyFont="1" applyFill="1" applyBorder="1" applyProtection="1"/>
    <xf numFmtId="165" fontId="27" fillId="13" borderId="34" xfId="1" applyNumberFormat="1" applyFont="1" applyFill="1" applyBorder="1" applyAlignment="1" applyProtection="1">
      <alignment horizontal="right"/>
    </xf>
    <xf numFmtId="165" fontId="31" fillId="13" borderId="9" xfId="1" applyNumberFormat="1" applyFont="1" applyFill="1" applyBorder="1" applyAlignment="1" applyProtection="1">
      <alignment horizontal="right"/>
    </xf>
    <xf numFmtId="41" fontId="27" fillId="13" borderId="0" xfId="0" applyNumberFormat="1" applyFont="1" applyFill="1" applyAlignment="1">
      <alignment horizontal="left"/>
    </xf>
    <xf numFmtId="0" fontId="24" fillId="12" borderId="23" xfId="0" applyFont="1" applyFill="1" applyBorder="1"/>
    <xf numFmtId="0" fontId="24" fillId="12" borderId="23" xfId="8" applyFont="1" applyFill="1" applyBorder="1" applyAlignment="1">
      <alignment horizontal="left"/>
    </xf>
    <xf numFmtId="0" fontId="24" fillId="2" borderId="42" xfId="8" applyFont="1" applyFill="1" applyBorder="1" applyAlignment="1">
      <alignment horizontal="right"/>
    </xf>
    <xf numFmtId="0" fontId="0" fillId="8" borderId="2" xfId="0" applyFill="1" applyBorder="1" applyAlignment="1" applyProtection="1">
      <alignment vertical="center" wrapText="1"/>
      <protection locked="0"/>
    </xf>
    <xf numFmtId="0" fontId="29" fillId="0" borderId="0" xfId="0" applyFont="1" applyAlignment="1">
      <alignment horizontal="right"/>
    </xf>
    <xf numFmtId="14" fontId="20" fillId="8" borderId="1" xfId="0" applyNumberFormat="1" applyFont="1" applyFill="1" applyBorder="1" applyProtection="1">
      <protection locked="0"/>
    </xf>
    <xf numFmtId="0" fontId="34" fillId="14" borderId="54" xfId="0" applyFont="1" applyFill="1" applyBorder="1"/>
    <xf numFmtId="0" fontId="27" fillId="14" borderId="55" xfId="0" applyFont="1" applyFill="1" applyBorder="1" applyAlignment="1">
      <alignment horizontal="center"/>
    </xf>
    <xf numFmtId="0" fontId="27" fillId="14" borderId="55" xfId="0" applyFont="1" applyFill="1" applyBorder="1"/>
    <xf numFmtId="0" fontId="3" fillId="14" borderId="55" xfId="0" applyFont="1" applyFill="1" applyBorder="1" applyAlignment="1">
      <alignment horizontal="center"/>
    </xf>
    <xf numFmtId="0" fontId="27" fillId="14" borderId="56" xfId="0" applyFont="1" applyFill="1" applyBorder="1" applyAlignment="1">
      <alignment horizontal="center"/>
    </xf>
    <xf numFmtId="0" fontId="27" fillId="14" borderId="57" xfId="0" applyFont="1" applyFill="1" applyBorder="1"/>
    <xf numFmtId="0" fontId="27" fillId="14" borderId="0" xfId="0" applyFont="1" applyFill="1"/>
    <xf numFmtId="0" fontId="3" fillId="14" borderId="0" xfId="0" applyFont="1" applyFill="1" applyAlignment="1">
      <alignment horizontal="right"/>
    </xf>
    <xf numFmtId="166" fontId="27" fillId="14" borderId="8" xfId="3" applyNumberFormat="1" applyFont="1" applyFill="1" applyBorder="1" applyAlignment="1" applyProtection="1">
      <alignment vertical="center"/>
    </xf>
    <xf numFmtId="166" fontId="27" fillId="14" borderId="0" xfId="3" applyNumberFormat="1" applyFont="1" applyFill="1" applyBorder="1" applyAlignment="1" applyProtection="1">
      <alignment vertical="center"/>
    </xf>
    <xf numFmtId="166" fontId="27" fillId="14" borderId="0" xfId="3" applyNumberFormat="1" applyFont="1" applyFill="1" applyBorder="1" applyProtection="1"/>
    <xf numFmtId="166" fontId="3" fillId="14" borderId="0" xfId="3" applyNumberFormat="1" applyFont="1" applyFill="1" applyBorder="1" applyAlignment="1" applyProtection="1">
      <alignment horizontal="right"/>
    </xf>
    <xf numFmtId="166" fontId="27" fillId="14" borderId="0" xfId="3" applyNumberFormat="1" applyFont="1" applyFill="1" applyBorder="1" applyAlignment="1" applyProtection="1"/>
    <xf numFmtId="166" fontId="27" fillId="14" borderId="0" xfId="3" applyNumberFormat="1" applyFont="1" applyFill="1" applyBorder="1" applyAlignment="1" applyProtection="1">
      <alignment horizontal="left" indent="1"/>
    </xf>
    <xf numFmtId="0" fontId="3" fillId="14" borderId="58" xfId="0" applyFont="1" applyFill="1" applyBorder="1" applyAlignment="1">
      <alignment horizontal="left"/>
    </xf>
    <xf numFmtId="166" fontId="27" fillId="14" borderId="12" xfId="3" applyNumberFormat="1" applyFont="1" applyFill="1" applyBorder="1" applyAlignment="1" applyProtection="1"/>
    <xf numFmtId="0" fontId="28" fillId="14" borderId="57" xfId="0" applyFont="1" applyFill="1" applyBorder="1"/>
    <xf numFmtId="0" fontId="28" fillId="14" borderId="0" xfId="0" applyFont="1" applyFill="1"/>
    <xf numFmtId="166" fontId="27" fillId="14" borderId="10" xfId="3" applyNumberFormat="1" applyFont="1" applyFill="1" applyBorder="1" applyAlignment="1" applyProtection="1"/>
    <xf numFmtId="166" fontId="27" fillId="14" borderId="2" xfId="3" applyNumberFormat="1" applyFont="1" applyFill="1" applyBorder="1" applyAlignment="1" applyProtection="1"/>
    <xf numFmtId="166" fontId="27" fillId="14" borderId="2" xfId="3" applyNumberFormat="1" applyFont="1" applyFill="1" applyBorder="1" applyProtection="1"/>
    <xf numFmtId="166" fontId="3" fillId="14" borderId="2" xfId="3" applyNumberFormat="1" applyFont="1" applyFill="1" applyBorder="1" applyAlignment="1" applyProtection="1">
      <alignment horizontal="right"/>
    </xf>
    <xf numFmtId="0" fontId="1" fillId="14" borderId="57" xfId="0" applyFont="1" applyFill="1" applyBorder="1"/>
    <xf numFmtId="0" fontId="20" fillId="14" borderId="0" xfId="0" applyFont="1" applyFill="1"/>
    <xf numFmtId="0" fontId="40" fillId="14" borderId="3" xfId="0" applyFont="1" applyFill="1" applyBorder="1" applyAlignment="1">
      <alignment horizontal="center"/>
    </xf>
    <xf numFmtId="0" fontId="20" fillId="14" borderId="0" xfId="0" applyFont="1" applyFill="1" applyAlignment="1">
      <alignment horizontal="left"/>
    </xf>
    <xf numFmtId="43" fontId="20" fillId="14" borderId="58" xfId="0" applyNumberFormat="1" applyFont="1" applyFill="1" applyBorder="1"/>
    <xf numFmtId="0" fontId="1" fillId="14" borderId="59" xfId="0" applyFont="1" applyFill="1" applyBorder="1"/>
    <xf numFmtId="0" fontId="20" fillId="14" borderId="60" xfId="0" applyFont="1" applyFill="1" applyBorder="1"/>
    <xf numFmtId="42" fontId="40" fillId="14" borderId="60" xfId="0" applyNumberFormat="1" applyFont="1" applyFill="1" applyBorder="1" applyAlignment="1">
      <alignment horizontal="center"/>
    </xf>
    <xf numFmtId="0" fontId="20" fillId="14" borderId="62" xfId="0" applyFont="1" applyFill="1" applyBorder="1" applyAlignment="1">
      <alignment horizontal="left"/>
    </xf>
    <xf numFmtId="0" fontId="27" fillId="13" borderId="25" xfId="0" applyFont="1" applyFill="1" applyBorder="1" applyAlignment="1">
      <alignment horizontal="left"/>
    </xf>
    <xf numFmtId="0" fontId="20" fillId="2" borderId="33" xfId="0" applyFont="1" applyFill="1" applyBorder="1" applyAlignment="1" applyProtection="1">
      <alignment horizontal="left"/>
      <protection locked="0"/>
    </xf>
    <xf numFmtId="164" fontId="20" fillId="2" borderId="31" xfId="0" applyNumberFormat="1" applyFont="1" applyFill="1" applyBorder="1" applyProtection="1">
      <protection locked="0"/>
    </xf>
    <xf numFmtId="165" fontId="20" fillId="14" borderId="0" xfId="1" applyNumberFormat="1" applyFont="1" applyFill="1" applyBorder="1" applyProtection="1"/>
    <xf numFmtId="165" fontId="20" fillId="14" borderId="18" xfId="1" applyNumberFormat="1" applyFont="1" applyFill="1" applyBorder="1" applyProtection="1"/>
    <xf numFmtId="0" fontId="1" fillId="15" borderId="0" xfId="0" applyFont="1" applyFill="1"/>
    <xf numFmtId="0" fontId="3" fillId="15" borderId="0" xfId="0" applyFont="1" applyFill="1" applyAlignment="1">
      <alignment horizontal="center"/>
    </xf>
    <xf numFmtId="0" fontId="13" fillId="15" borderId="25" xfId="0" applyFont="1" applyFill="1" applyBorder="1" applyAlignment="1">
      <alignment horizontal="center"/>
    </xf>
    <xf numFmtId="0" fontId="3" fillId="15" borderId="25" xfId="0" applyFont="1" applyFill="1" applyBorder="1" applyAlignment="1">
      <alignment horizontal="center"/>
    </xf>
    <xf numFmtId="165" fontId="27" fillId="15" borderId="13" xfId="1" applyNumberFormat="1" applyFont="1" applyFill="1" applyBorder="1" applyProtection="1"/>
    <xf numFmtId="43" fontId="20" fillId="15" borderId="0" xfId="1" applyFont="1" applyFill="1" applyBorder="1" applyProtection="1"/>
    <xf numFmtId="165" fontId="1" fillId="15" borderId="0" xfId="1" applyNumberFormat="1" applyFont="1" applyFill="1" applyBorder="1" applyProtection="1"/>
    <xf numFmtId="0" fontId="34" fillId="15" borderId="0" xfId="0" applyFont="1" applyFill="1"/>
    <xf numFmtId="165" fontId="1" fillId="15" borderId="0" xfId="0" applyNumberFormat="1" applyFont="1" applyFill="1"/>
    <xf numFmtId="164" fontId="20" fillId="8" borderId="7" xfId="0" applyNumberFormat="1" applyFont="1" applyFill="1" applyBorder="1" applyProtection="1">
      <protection locked="0"/>
    </xf>
    <xf numFmtId="0" fontId="1" fillId="8" borderId="2" xfId="0" applyFont="1" applyFill="1" applyBorder="1" applyAlignment="1" applyProtection="1">
      <alignment vertical="center" wrapText="1"/>
      <protection locked="0"/>
    </xf>
    <xf numFmtId="0" fontId="0" fillId="8" borderId="9" xfId="0" applyFill="1" applyBorder="1" applyAlignment="1" applyProtection="1">
      <alignment vertical="center" wrapText="1"/>
      <protection locked="0"/>
    </xf>
    <xf numFmtId="165" fontId="20" fillId="8" borderId="29" xfId="1" applyNumberFormat="1" applyFont="1" applyFill="1" applyBorder="1" applyAlignment="1" applyProtection="1">
      <alignment vertical="center" wrapText="1"/>
      <protection locked="0"/>
    </xf>
    <xf numFmtId="9" fontId="20" fillId="8" borderId="29" xfId="9" applyFont="1" applyFill="1" applyBorder="1" applyAlignment="1" applyProtection="1">
      <alignment vertical="center" wrapText="1"/>
      <protection locked="0"/>
    </xf>
    <xf numFmtId="0" fontId="0" fillId="8" borderId="28" xfId="0" applyFill="1" applyBorder="1" applyAlignment="1" applyProtection="1">
      <alignment vertical="center" wrapText="1"/>
      <protection locked="0"/>
    </xf>
    <xf numFmtId="0" fontId="47" fillId="0" borderId="43" xfId="0" applyFont="1" applyBorder="1"/>
    <xf numFmtId="0" fontId="20" fillId="0" borderId="23" xfId="0" applyFont="1" applyBorder="1" applyAlignment="1">
      <alignment vertical="center"/>
    </xf>
    <xf numFmtId="0" fontId="0" fillId="0" borderId="42" xfId="0" applyBorder="1" applyAlignment="1">
      <alignment wrapText="1"/>
    </xf>
    <xf numFmtId="0" fontId="46" fillId="0" borderId="34" xfId="0" applyFont="1" applyBorder="1" applyAlignment="1">
      <alignment wrapText="1"/>
    </xf>
    <xf numFmtId="0" fontId="0" fillId="0" borderId="26" xfId="0" applyBorder="1" applyAlignment="1">
      <alignment wrapText="1"/>
    </xf>
    <xf numFmtId="0" fontId="46" fillId="0" borderId="25" xfId="0" applyFont="1" applyBorder="1" applyAlignment="1">
      <alignment wrapText="1"/>
    </xf>
    <xf numFmtId="0" fontId="20" fillId="0" borderId="18" xfId="0" applyFont="1" applyBorder="1" applyAlignment="1">
      <alignment wrapText="1"/>
    </xf>
    <xf numFmtId="0" fontId="1" fillId="0" borderId="34" xfId="0" applyFont="1" applyBorder="1" applyAlignment="1">
      <alignment horizontal="right"/>
    </xf>
    <xf numFmtId="0" fontId="1" fillId="0" borderId="26" xfId="0" applyFont="1" applyBorder="1" applyAlignment="1">
      <alignment wrapText="1"/>
    </xf>
    <xf numFmtId="0" fontId="46" fillId="0" borderId="39" xfId="0" applyFont="1" applyBorder="1" applyAlignment="1">
      <alignment wrapText="1"/>
    </xf>
    <xf numFmtId="0" fontId="1" fillId="0" borderId="16" xfId="0" applyFont="1" applyBorder="1" applyAlignment="1">
      <alignment wrapText="1"/>
    </xf>
    <xf numFmtId="0" fontId="29" fillId="0" borderId="9" xfId="0" applyFont="1" applyBorder="1" applyAlignment="1">
      <alignment horizontal="right"/>
    </xf>
    <xf numFmtId="0" fontId="49" fillId="15" borderId="0" xfId="0" applyFont="1" applyFill="1"/>
    <xf numFmtId="0" fontId="20" fillId="15" borderId="0" xfId="0" applyFont="1" applyFill="1" applyAlignment="1">
      <alignment horizontal="left"/>
    </xf>
    <xf numFmtId="43" fontId="20" fillId="15" borderId="0" xfId="0" applyNumberFormat="1" applyFont="1" applyFill="1"/>
    <xf numFmtId="41" fontId="20" fillId="15" borderId="0" xfId="0" applyNumberFormat="1" applyFont="1" applyFill="1"/>
    <xf numFmtId="0" fontId="20" fillId="15" borderId="0" xfId="0" applyFont="1" applyFill="1"/>
    <xf numFmtId="0" fontId="1" fillId="2" borderId="25" xfId="0" applyFont="1" applyFill="1" applyBorder="1" applyAlignment="1" applyProtection="1">
      <alignment horizontal="left"/>
      <protection locked="0"/>
    </xf>
    <xf numFmtId="0" fontId="1" fillId="12" borderId="25" xfId="0" applyFont="1" applyFill="1" applyBorder="1" applyAlignment="1" applyProtection="1">
      <alignment horizontal="left"/>
      <protection locked="0"/>
    </xf>
    <xf numFmtId="0" fontId="45" fillId="0" borderId="0" xfId="0" applyFont="1" applyAlignment="1">
      <alignment horizontal="center" wrapText="1"/>
    </xf>
    <xf numFmtId="0" fontId="20" fillId="0" borderId="0" xfId="0" applyFont="1" applyAlignment="1">
      <alignment wrapText="1"/>
    </xf>
    <xf numFmtId="0" fontId="20" fillId="2" borderId="0" xfId="0" applyFont="1" applyFill="1" applyAlignment="1">
      <alignment horizontal="center" wrapText="1"/>
    </xf>
    <xf numFmtId="0" fontId="1" fillId="0" borderId="18" xfId="0" applyFont="1" applyBorder="1" applyAlignment="1">
      <alignment vertical="top" wrapText="1"/>
    </xf>
    <xf numFmtId="0" fontId="1" fillId="0" borderId="26" xfId="0" applyFont="1" applyBorder="1" applyAlignment="1">
      <alignment vertical="top" wrapText="1"/>
    </xf>
    <xf numFmtId="0" fontId="1" fillId="0" borderId="0" xfId="0" applyFont="1" applyAlignment="1">
      <alignment horizontal="center" wrapText="1"/>
    </xf>
    <xf numFmtId="0" fontId="1" fillId="0" borderId="0" xfId="0" applyFont="1" applyAlignment="1">
      <alignment wrapText="1"/>
    </xf>
    <xf numFmtId="0" fontId="40" fillId="14" borderId="4" xfId="0" applyFont="1" applyFill="1" applyBorder="1" applyAlignment="1">
      <alignment horizontal="right"/>
    </xf>
    <xf numFmtId="0" fontId="40" fillId="14" borderId="3" xfId="0" applyFont="1" applyFill="1" applyBorder="1" applyAlignment="1">
      <alignment horizontal="right"/>
    </xf>
    <xf numFmtId="0" fontId="40" fillId="14" borderId="61" xfId="0" applyFont="1" applyFill="1" applyBorder="1" applyAlignment="1">
      <alignment horizontal="right"/>
    </xf>
    <xf numFmtId="0" fontId="40" fillId="14" borderId="60" xfId="0" applyFont="1" applyFill="1" applyBorder="1" applyAlignment="1">
      <alignment horizontal="right"/>
    </xf>
    <xf numFmtId="165" fontId="1" fillId="12" borderId="46" xfId="1" applyNumberFormat="1" applyFont="1" applyFill="1" applyBorder="1" applyAlignment="1" applyProtection="1">
      <alignment horizontal="right"/>
    </xf>
    <xf numFmtId="165" fontId="1" fillId="7" borderId="19" xfId="1" applyNumberFormat="1" applyFont="1" applyFill="1" applyBorder="1" applyAlignment="1" applyProtection="1">
      <alignment horizontal="right"/>
    </xf>
    <xf numFmtId="165" fontId="27" fillId="10" borderId="40" xfId="1" applyNumberFormat="1" applyFont="1" applyFill="1" applyBorder="1" applyAlignment="1" applyProtection="1">
      <alignment horizontal="center"/>
    </xf>
    <xf numFmtId="165" fontId="31" fillId="9" borderId="40" xfId="1" applyNumberFormat="1" applyFont="1" applyFill="1" applyBorder="1" applyAlignment="1" applyProtection="1">
      <alignment horizontal="center"/>
    </xf>
    <xf numFmtId="165" fontId="31" fillId="9" borderId="41" xfId="1" applyNumberFormat="1" applyFont="1" applyFill="1" applyBorder="1" applyAlignment="1" applyProtection="1">
      <alignment horizontal="center"/>
    </xf>
    <xf numFmtId="0" fontId="27" fillId="15" borderId="9" xfId="0" applyFont="1" applyFill="1" applyBorder="1" applyAlignment="1">
      <alignment horizontal="center"/>
    </xf>
    <xf numFmtId="0" fontId="31" fillId="15" borderId="9" xfId="0" applyFont="1" applyFill="1" applyBorder="1" applyAlignment="1">
      <alignment horizontal="center"/>
    </xf>
    <xf numFmtId="0" fontId="39" fillId="15" borderId="43" xfId="0" applyFont="1" applyFill="1" applyBorder="1" applyAlignment="1">
      <alignment horizontal="center" vertical="center"/>
    </xf>
    <xf numFmtId="0" fontId="33" fillId="15" borderId="25" xfId="0" applyFont="1" applyFill="1" applyBorder="1" applyAlignment="1">
      <alignment horizontal="center" vertical="center"/>
    </xf>
    <xf numFmtId="0" fontId="39" fillId="15" borderId="23" xfId="0" applyFont="1" applyFill="1" applyBorder="1" applyAlignment="1">
      <alignment horizontal="center" vertical="center" wrapText="1"/>
    </xf>
    <xf numFmtId="0" fontId="33" fillId="15" borderId="0" xfId="0" applyFont="1" applyFill="1" applyAlignment="1">
      <alignment horizontal="center" vertical="center" wrapText="1"/>
    </xf>
    <xf numFmtId="0" fontId="5" fillId="15" borderId="23" xfId="0" applyFont="1" applyFill="1" applyBorder="1" applyAlignment="1">
      <alignment horizontal="center" vertical="center" wrapText="1"/>
    </xf>
    <xf numFmtId="0" fontId="5" fillId="15" borderId="0" xfId="0" applyFont="1" applyFill="1" applyAlignment="1">
      <alignment horizontal="center" vertical="center" wrapText="1"/>
    </xf>
    <xf numFmtId="0" fontId="37" fillId="15" borderId="23" xfId="0" applyFont="1" applyFill="1" applyBorder="1" applyAlignment="1">
      <alignment horizontal="center" vertical="center" wrapText="1"/>
    </xf>
    <xf numFmtId="0" fontId="30" fillId="15" borderId="0" xfId="0" applyFont="1" applyFill="1" applyAlignment="1">
      <alignment horizontal="center" vertical="center" wrapText="1"/>
    </xf>
    <xf numFmtId="0" fontId="37" fillId="15" borderId="42" xfId="0" applyFont="1" applyFill="1" applyBorder="1" applyAlignment="1">
      <alignment horizontal="center" vertical="center" wrapText="1"/>
    </xf>
    <xf numFmtId="0" fontId="30" fillId="15" borderId="18" xfId="0" applyFont="1" applyFill="1" applyBorder="1" applyAlignment="1">
      <alignment horizontal="center" vertical="center" wrapText="1"/>
    </xf>
    <xf numFmtId="0" fontId="3" fillId="12" borderId="0" xfId="0" applyFont="1" applyFill="1" applyAlignment="1">
      <alignment horizontal="right" vertical="center"/>
    </xf>
    <xf numFmtId="0" fontId="3" fillId="7" borderId="0" xfId="0" applyFont="1" applyFill="1" applyAlignment="1">
      <alignment horizontal="right" vertical="center"/>
    </xf>
    <xf numFmtId="165" fontId="1" fillId="12" borderId="31" xfId="1" applyNumberFormat="1" applyFont="1" applyFill="1" applyBorder="1" applyAlignment="1" applyProtection="1">
      <alignment horizontal="right"/>
    </xf>
    <xf numFmtId="165" fontId="1" fillId="7" borderId="2" xfId="1" applyNumberFormat="1" applyFont="1" applyFill="1" applyBorder="1" applyAlignment="1" applyProtection="1">
      <alignment horizontal="right"/>
    </xf>
    <xf numFmtId="165" fontId="3" fillId="12" borderId="0" xfId="1" applyNumberFormat="1" applyFont="1" applyFill="1" applyBorder="1" applyAlignment="1" applyProtection="1">
      <alignment horizontal="right"/>
    </xf>
    <xf numFmtId="165" fontId="3" fillId="7" borderId="0" xfId="1" applyNumberFormat="1" applyFont="1" applyFill="1" applyBorder="1" applyAlignment="1" applyProtection="1">
      <alignment horizontal="right"/>
    </xf>
    <xf numFmtId="0" fontId="3" fillId="12" borderId="0" xfId="0" applyFont="1" applyFill="1" applyAlignment="1">
      <alignment horizontal="center"/>
    </xf>
    <xf numFmtId="0" fontId="3" fillId="7" borderId="0" xfId="0" applyFont="1" applyFill="1" applyAlignment="1">
      <alignment horizontal="center"/>
    </xf>
    <xf numFmtId="0" fontId="27" fillId="13" borderId="9" xfId="0" applyFont="1" applyFill="1" applyBorder="1" applyAlignment="1">
      <alignment horizontal="center"/>
    </xf>
    <xf numFmtId="0" fontId="31" fillId="13" borderId="9" xfId="0" applyFont="1" applyFill="1" applyBorder="1" applyAlignment="1">
      <alignment horizontal="center"/>
    </xf>
    <xf numFmtId="0" fontId="39" fillId="13" borderId="43" xfId="0" applyFont="1" applyFill="1" applyBorder="1" applyAlignment="1">
      <alignment horizontal="center" vertical="center"/>
    </xf>
    <xf numFmtId="0" fontId="33" fillId="13" borderId="25" xfId="0" applyFont="1" applyFill="1" applyBorder="1" applyAlignment="1">
      <alignment horizontal="center" vertical="center"/>
    </xf>
    <xf numFmtId="0" fontId="39" fillId="13" borderId="23" xfId="0" applyFont="1" applyFill="1" applyBorder="1" applyAlignment="1">
      <alignment horizontal="center" vertical="center" wrapText="1"/>
    </xf>
    <xf numFmtId="0" fontId="33" fillId="13" borderId="0" xfId="0" applyFont="1" applyFill="1" applyAlignment="1">
      <alignment horizontal="center" vertical="center" wrapText="1"/>
    </xf>
    <xf numFmtId="0" fontId="5" fillId="13" borderId="23" xfId="0" applyFont="1" applyFill="1" applyBorder="1" applyAlignment="1">
      <alignment horizontal="center" vertical="center" wrapText="1"/>
    </xf>
    <xf numFmtId="0" fontId="5" fillId="13" borderId="0" xfId="0" applyFont="1" applyFill="1" applyAlignment="1">
      <alignment horizontal="center" vertical="center" wrapText="1"/>
    </xf>
    <xf numFmtId="0" fontId="37" fillId="13" borderId="23" xfId="0" applyFont="1" applyFill="1" applyBorder="1" applyAlignment="1">
      <alignment horizontal="center" vertical="center"/>
    </xf>
    <xf numFmtId="0" fontId="30" fillId="13" borderId="0" xfId="0" applyFont="1" applyFill="1" applyAlignment="1">
      <alignment horizontal="center" vertical="center"/>
    </xf>
    <xf numFmtId="0" fontId="37" fillId="13" borderId="42" xfId="0" applyFont="1" applyFill="1" applyBorder="1" applyAlignment="1">
      <alignment horizontal="center" vertical="center"/>
    </xf>
    <xf numFmtId="0" fontId="30" fillId="13" borderId="18" xfId="0" applyFont="1" applyFill="1" applyBorder="1" applyAlignment="1">
      <alignment horizontal="center" vertical="center"/>
    </xf>
    <xf numFmtId="0" fontId="27" fillId="10" borderId="0" xfId="0" applyFont="1" applyFill="1" applyAlignment="1">
      <alignment horizontal="right"/>
    </xf>
    <xf numFmtId="0" fontId="3" fillId="6" borderId="0" xfId="0" applyFont="1" applyFill="1" applyAlignment="1">
      <alignment horizontal="right"/>
    </xf>
    <xf numFmtId="0" fontId="35" fillId="15" borderId="20" xfId="0" applyFont="1" applyFill="1" applyBorder="1" applyAlignment="1">
      <alignment horizontal="center" vertical="center"/>
    </xf>
    <xf numFmtId="0" fontId="32" fillId="15" borderId="13" xfId="0" applyFont="1" applyFill="1" applyBorder="1" applyAlignment="1">
      <alignment horizontal="center" vertical="center"/>
    </xf>
    <xf numFmtId="0" fontId="37" fillId="15" borderId="43" xfId="0" applyFont="1" applyFill="1" applyBorder="1" applyAlignment="1">
      <alignment horizontal="center" vertical="center"/>
    </xf>
    <xf numFmtId="0" fontId="30" fillId="15" borderId="25" xfId="0" applyFont="1" applyFill="1" applyBorder="1" applyAlignment="1">
      <alignment horizontal="center" vertical="center"/>
    </xf>
    <xf numFmtId="0" fontId="24" fillId="15" borderId="25" xfId="0" applyFont="1" applyFill="1" applyBorder="1" applyAlignment="1">
      <alignment horizontal="center" vertical="center"/>
    </xf>
    <xf numFmtId="0" fontId="36" fillId="15" borderId="0" xfId="0" applyFont="1" applyFill="1" applyAlignment="1">
      <alignment horizontal="center" vertical="center" wrapText="1"/>
    </xf>
    <xf numFmtId="0" fontId="13" fillId="15" borderId="0" xfId="0" applyFont="1" applyFill="1" applyAlignment="1">
      <alignment horizontal="center" vertical="center" wrapText="1"/>
    </xf>
    <xf numFmtId="0" fontId="5" fillId="15" borderId="25" xfId="0" applyFont="1" applyFill="1" applyBorder="1" applyAlignment="1">
      <alignment horizontal="center" vertical="center"/>
    </xf>
    <xf numFmtId="0" fontId="35" fillId="13" borderId="20" xfId="0" applyFont="1" applyFill="1" applyBorder="1" applyAlignment="1">
      <alignment horizontal="center" vertical="center"/>
    </xf>
    <xf numFmtId="0" fontId="32" fillId="13" borderId="13" xfId="0" applyFont="1" applyFill="1" applyBorder="1" applyAlignment="1">
      <alignment horizontal="center" vertical="center"/>
    </xf>
    <xf numFmtId="0" fontId="1" fillId="12" borderId="2" xfId="0" applyFont="1" applyFill="1" applyBorder="1" applyAlignment="1">
      <alignment horizontal="right"/>
    </xf>
    <xf numFmtId="0" fontId="1" fillId="7" borderId="2" xfId="0" applyFont="1" applyFill="1" applyBorder="1" applyAlignment="1">
      <alignment horizontal="right"/>
    </xf>
    <xf numFmtId="0" fontId="27" fillId="10" borderId="40" xfId="0" applyFont="1" applyFill="1" applyBorder="1" applyAlignment="1">
      <alignment horizontal="center"/>
    </xf>
    <xf numFmtId="0" fontId="31" fillId="9" borderId="40" xfId="0" applyFont="1" applyFill="1" applyBorder="1" applyAlignment="1">
      <alignment horizontal="center"/>
    </xf>
    <xf numFmtId="0" fontId="1" fillId="12" borderId="19" xfId="0" applyFont="1" applyFill="1" applyBorder="1" applyAlignment="1">
      <alignment horizontal="right"/>
    </xf>
    <xf numFmtId="0" fontId="1" fillId="7" borderId="19" xfId="0" applyFont="1" applyFill="1" applyBorder="1" applyAlignment="1">
      <alignment horizontal="right"/>
    </xf>
    <xf numFmtId="165" fontId="27" fillId="10" borderId="14" xfId="1" applyNumberFormat="1" applyFont="1" applyFill="1" applyBorder="1" applyAlignment="1" applyProtection="1">
      <alignment horizontal="left" vertical="top"/>
    </xf>
    <xf numFmtId="165" fontId="3" fillId="6" borderId="14" xfId="1" applyNumberFormat="1" applyFont="1" applyFill="1" applyBorder="1" applyAlignment="1" applyProtection="1">
      <alignment horizontal="left" vertical="top"/>
    </xf>
    <xf numFmtId="0" fontId="37" fillId="13" borderId="43" xfId="0" applyFont="1" applyFill="1" applyBorder="1" applyAlignment="1">
      <alignment horizontal="center" vertical="center"/>
    </xf>
    <xf numFmtId="0" fontId="30" fillId="13" borderId="25" xfId="0" applyFont="1" applyFill="1" applyBorder="1" applyAlignment="1">
      <alignment horizontal="center" vertical="center"/>
    </xf>
    <xf numFmtId="0" fontId="37" fillId="13" borderId="23" xfId="0" applyFont="1" applyFill="1" applyBorder="1" applyAlignment="1">
      <alignment horizontal="center" vertical="center" wrapText="1"/>
    </xf>
    <xf numFmtId="0" fontId="30" fillId="13" borderId="0" xfId="0" applyFont="1" applyFill="1" applyAlignment="1">
      <alignment horizontal="center" vertical="center" wrapText="1"/>
    </xf>
    <xf numFmtId="0" fontId="43" fillId="0" borderId="0" xfId="0" applyFont="1" applyAlignment="1">
      <alignment horizontal="left" vertical="center" wrapText="1"/>
    </xf>
    <xf numFmtId="0" fontId="43" fillId="0" borderId="18" xfId="0" applyFont="1" applyBorder="1" applyAlignment="1">
      <alignment horizontal="left" vertical="center" wrapText="1"/>
    </xf>
    <xf numFmtId="0" fontId="43" fillId="0" borderId="0" xfId="0" applyFont="1" applyAlignment="1">
      <alignment horizontal="left" wrapText="1"/>
    </xf>
    <xf numFmtId="0" fontId="43" fillId="0" borderId="18" xfId="0" applyFont="1" applyBorder="1" applyAlignment="1">
      <alignment horizontal="left" wrapText="1"/>
    </xf>
    <xf numFmtId="0" fontId="43" fillId="0" borderId="2" xfId="0" applyFont="1" applyBorder="1" applyAlignment="1">
      <alignment horizontal="left" wrapText="1"/>
    </xf>
    <xf numFmtId="0" fontId="43" fillId="0" borderId="30" xfId="0" applyFont="1" applyBorder="1" applyAlignment="1">
      <alignment horizontal="left" wrapText="1"/>
    </xf>
    <xf numFmtId="0" fontId="29" fillId="0" borderId="25" xfId="0" applyFont="1" applyBorder="1" applyAlignment="1">
      <alignment horizontal="left" vertical="top" wrapText="1"/>
    </xf>
    <xf numFmtId="0" fontId="29" fillId="0" borderId="0" xfId="0" applyFont="1" applyAlignment="1">
      <alignment horizontal="left" vertical="top" wrapText="1"/>
    </xf>
    <xf numFmtId="0" fontId="29" fillId="0" borderId="18" xfId="0" applyFont="1" applyBorder="1" applyAlignment="1">
      <alignment horizontal="left" vertical="top" wrapText="1"/>
    </xf>
    <xf numFmtId="0" fontId="29" fillId="0" borderId="34" xfId="0" applyFont="1" applyBorder="1" applyAlignment="1">
      <alignment horizontal="left" vertical="top" wrapText="1"/>
    </xf>
    <xf numFmtId="0" fontId="29" fillId="0" borderId="9" xfId="0" applyFont="1" applyBorder="1" applyAlignment="1">
      <alignment horizontal="left" vertical="top" wrapText="1"/>
    </xf>
    <xf numFmtId="0" fontId="29" fillId="0" borderId="26" xfId="0" applyFont="1" applyBorder="1" applyAlignment="1">
      <alignment horizontal="left" vertical="top" wrapText="1"/>
    </xf>
    <xf numFmtId="0" fontId="24" fillId="13" borderId="25" xfId="0" applyFont="1" applyFill="1" applyBorder="1" applyAlignment="1">
      <alignment horizontal="center" vertical="center"/>
    </xf>
    <xf numFmtId="0" fontId="36" fillId="13" borderId="0" xfId="0" applyFont="1" applyFill="1" applyAlignment="1">
      <alignment horizontal="center" vertical="center" wrapText="1"/>
    </xf>
    <xf numFmtId="0" fontId="13" fillId="13" borderId="0" xfId="0" applyFont="1" applyFill="1" applyAlignment="1">
      <alignment horizontal="center" vertical="center" wrapText="1"/>
    </xf>
    <xf numFmtId="0" fontId="5" fillId="13" borderId="25" xfId="0" applyFont="1" applyFill="1" applyBorder="1" applyAlignment="1">
      <alignment horizontal="center" vertical="center"/>
    </xf>
    <xf numFmtId="0" fontId="24" fillId="12" borderId="43" xfId="8" applyFont="1" applyFill="1" applyBorder="1" applyAlignment="1">
      <alignment horizontal="center"/>
    </xf>
    <xf numFmtId="0" fontId="24" fillId="12" borderId="42" xfId="8" applyFont="1" applyFill="1" applyBorder="1" applyAlignment="1">
      <alignment horizontal="center"/>
    </xf>
  </cellXfs>
  <cellStyles count="10">
    <cellStyle name="Comma" xfId="1" builtinId="3"/>
    <cellStyle name="Comma0" xfId="2" xr:uid="{00000000-0005-0000-0000-000001000000}"/>
    <cellStyle name="Currency" xfId="3" builtinId="4"/>
    <cellStyle name="Currency 2" xfId="4" xr:uid="{00000000-0005-0000-0000-000003000000}"/>
    <cellStyle name="Currency0" xfId="5" xr:uid="{00000000-0005-0000-0000-000004000000}"/>
    <cellStyle name="Date" xfId="6" xr:uid="{00000000-0005-0000-0000-000005000000}"/>
    <cellStyle name="Fixed" xfId="7" xr:uid="{00000000-0005-0000-0000-000006000000}"/>
    <cellStyle name="Normal" xfId="0" builtinId="0"/>
    <cellStyle name="Normal 2" xfId="8" xr:uid="{00000000-0005-0000-0000-000008000000}"/>
    <cellStyle name="Percent" xfId="9" builtinId="5"/>
  </cellStyles>
  <dxfs count="6">
    <dxf>
      <fill>
        <patternFill>
          <bgColor rgb="FFFF5050"/>
        </patternFill>
      </fill>
    </dxf>
    <dxf>
      <font>
        <color rgb="FFFF0000"/>
      </font>
    </dxf>
    <dxf>
      <font>
        <color rgb="FFFF0000"/>
      </font>
    </dxf>
    <dxf>
      <font>
        <color rgb="FFFF0000"/>
      </font>
    </dxf>
    <dxf>
      <font>
        <color rgb="FFFF0000"/>
      </font>
    </dxf>
    <dxf>
      <font>
        <color rgb="FFFF000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A50034"/>
      <color rgb="FFFF5050"/>
      <color rgb="FFFFFF99"/>
      <color rgb="FF6E6259"/>
      <color rgb="FFFFFF66"/>
      <color rgb="FFDDCBA4"/>
      <color rgb="FF231F20"/>
      <color rgb="FFFFFFCC"/>
      <color rgb="FF99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49</xdr:col>
      <xdr:colOff>419099</xdr:colOff>
      <xdr:row>43</xdr:row>
      <xdr:rowOff>28575</xdr:rowOff>
    </xdr:from>
    <xdr:to>
      <xdr:col>49</xdr:col>
      <xdr:colOff>819150</xdr:colOff>
      <xdr:row>47</xdr:row>
      <xdr:rowOff>152401</xdr:rowOff>
    </xdr:to>
    <xdr:sp macro="" textlink="">
      <xdr:nvSpPr>
        <xdr:cNvPr id="2" name="Right Brace 1">
          <a:extLst>
            <a:ext uri="{FF2B5EF4-FFF2-40B4-BE49-F238E27FC236}">
              <a16:creationId xmlns:a16="http://schemas.microsoft.com/office/drawing/2014/main" id="{D53D1945-86F7-4B7D-AE83-D1906128F3D5}"/>
            </a:ext>
          </a:extLst>
        </xdr:cNvPr>
        <xdr:cNvSpPr/>
      </xdr:nvSpPr>
      <xdr:spPr>
        <a:xfrm>
          <a:off x="24193499" y="7553325"/>
          <a:ext cx="400051" cy="771526"/>
        </a:xfrm>
        <a:prstGeom prst="rightBrace">
          <a:avLst/>
        </a:prstGeom>
      </xdr:spPr>
      <xdr:style>
        <a:lnRef idx="2">
          <a:schemeClr val="accent1"/>
        </a:lnRef>
        <a:fillRef idx="0">
          <a:schemeClr val="accent1"/>
        </a:fillRef>
        <a:effectRef idx="1">
          <a:schemeClr val="accent1"/>
        </a:effectRef>
        <a:fontRef idx="minor">
          <a:schemeClr val="tx1"/>
        </a:fontRef>
      </xdr:style>
      <xdr:txBody>
        <a:bodyPr rtlCol="0" anchor="ctr"/>
        <a:lstStyle/>
        <a:p>
          <a:pPr algn="l"/>
          <a:endParaRPr lang="en-US" sz="1100"/>
        </a:p>
      </xdr:txBody>
    </xdr:sp>
    <xdr:clientData/>
  </xdr:twoCellAnchor>
  <xdr:twoCellAnchor>
    <xdr:from>
      <xdr:col>49</xdr:col>
      <xdr:colOff>323850</xdr:colOff>
      <xdr:row>50</xdr:row>
      <xdr:rowOff>0</xdr:rowOff>
    </xdr:from>
    <xdr:to>
      <xdr:col>50</xdr:col>
      <xdr:colOff>0</xdr:colOff>
      <xdr:row>50</xdr:row>
      <xdr:rowOff>95250</xdr:rowOff>
    </xdr:to>
    <xdr:cxnSp macro="">
      <xdr:nvCxnSpPr>
        <xdr:cNvPr id="3" name="Straight Arrow Connector 2">
          <a:extLst>
            <a:ext uri="{FF2B5EF4-FFF2-40B4-BE49-F238E27FC236}">
              <a16:creationId xmlns:a16="http://schemas.microsoft.com/office/drawing/2014/main" id="{9AC122AB-8B02-4C33-A55C-8F2FC1F9ACEE}"/>
            </a:ext>
          </a:extLst>
        </xdr:cNvPr>
        <xdr:cNvCxnSpPr/>
      </xdr:nvCxnSpPr>
      <xdr:spPr>
        <a:xfrm flipH="1">
          <a:off x="24098250" y="8496300"/>
          <a:ext cx="504825" cy="95250"/>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49</xdr:col>
      <xdr:colOff>323850</xdr:colOff>
      <xdr:row>49</xdr:row>
      <xdr:rowOff>0</xdr:rowOff>
    </xdr:from>
    <xdr:to>
      <xdr:col>50</xdr:col>
      <xdr:colOff>0</xdr:colOff>
      <xdr:row>49</xdr:row>
      <xdr:rowOff>95250</xdr:rowOff>
    </xdr:to>
    <xdr:cxnSp macro="">
      <xdr:nvCxnSpPr>
        <xdr:cNvPr id="4" name="Straight Arrow Connector 3">
          <a:extLst>
            <a:ext uri="{FF2B5EF4-FFF2-40B4-BE49-F238E27FC236}">
              <a16:creationId xmlns:a16="http://schemas.microsoft.com/office/drawing/2014/main" id="{AEB96D20-3C25-4C5A-B962-35349B9058EF}"/>
            </a:ext>
          </a:extLst>
        </xdr:cNvPr>
        <xdr:cNvCxnSpPr/>
      </xdr:nvCxnSpPr>
      <xdr:spPr>
        <a:xfrm flipH="1">
          <a:off x="34813009" y="8494568"/>
          <a:ext cx="507423" cy="95250"/>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F1" dT="2025-12-22T21:33:16.34" personId="{00000000-0000-0000-0000-000000000000}" id="{C9AD4688-88AD-4AF4-8A5A-0994645CC0C1}">
    <text>Cayuse SP Proposal number.</text>
  </threadedComment>
  <threadedComment ref="F2" dT="2025-12-22T21:33:02.72" personId="{00000000-0000-0000-0000-000000000000}" id="{E26E3B91-AC49-4E0E-AAEF-1C70BFB95701}">
    <text>Internal project ID number.</text>
  </threadedComment>
  <threadedComment ref="F3" dT="2025-12-22T21:32:51.32" personId="{00000000-0000-0000-0000-000000000000}" id="{DD66B2D7-96F8-4B95-B688-53A99D1F4919}">
    <text>Award number assigned by sponsor.</text>
  </threadedComment>
</ThreadedComment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sheetPr>
  <dimension ref="A1:H35"/>
  <sheetViews>
    <sheetView showGridLines="0" topLeftCell="A2" workbookViewId="0">
      <selection activeCell="B13" sqref="B13"/>
    </sheetView>
  </sheetViews>
  <sheetFormatPr defaultRowHeight="12.75" x14ac:dyDescent="0.2"/>
  <cols>
    <col min="1" max="1" width="72.28515625" style="247" customWidth="1"/>
    <col min="2" max="2" width="11.85546875" style="244" customWidth="1"/>
    <col min="3" max="3" width="58.7109375" style="247" customWidth="1"/>
    <col min="4" max="4" width="14.7109375" style="245" customWidth="1"/>
    <col min="5" max="5" width="14.7109375" style="245" hidden="1" customWidth="1"/>
    <col min="6" max="6" width="10.7109375" style="245" hidden="1" customWidth="1"/>
    <col min="7" max="7" width="9.140625" style="245" hidden="1" customWidth="1"/>
    <col min="8" max="16384" width="9.140625" style="245"/>
  </cols>
  <sheetData>
    <row r="1" spans="1:8" ht="23.25" x14ac:dyDescent="0.35">
      <c r="A1" s="376" t="s">
        <v>0</v>
      </c>
      <c r="B1" s="376"/>
      <c r="C1" s="376"/>
      <c r="H1" s="246"/>
    </row>
    <row r="2" spans="1:8" ht="28.5" customHeight="1" x14ac:dyDescent="0.2">
      <c r="A2" s="378" t="s">
        <v>1</v>
      </c>
      <c r="B2" s="378"/>
      <c r="C2" s="378"/>
    </row>
    <row r="3" spans="1:8" ht="23.25" customHeight="1" x14ac:dyDescent="0.2">
      <c r="A3" s="247" t="s">
        <v>2</v>
      </c>
    </row>
    <row r="4" spans="1:8" ht="36" customHeight="1" x14ac:dyDescent="0.2">
      <c r="A4" s="382" t="s">
        <v>3</v>
      </c>
      <c r="B4" s="382"/>
      <c r="C4" s="382"/>
    </row>
    <row r="5" spans="1:8" ht="99" customHeight="1" x14ac:dyDescent="0.2">
      <c r="A5" s="382" t="s">
        <v>4</v>
      </c>
      <c r="B5" s="382"/>
      <c r="C5" s="382"/>
    </row>
    <row r="6" spans="1:8" ht="22.5" customHeight="1" x14ac:dyDescent="0.2">
      <c r="A6" s="382" t="s">
        <v>5</v>
      </c>
      <c r="B6" s="382"/>
      <c r="C6" s="382"/>
    </row>
    <row r="7" spans="1:8" ht="33.75" customHeight="1" x14ac:dyDescent="0.2">
      <c r="A7" s="382" t="s">
        <v>6</v>
      </c>
      <c r="B7" s="382"/>
      <c r="C7" s="382"/>
    </row>
    <row r="8" spans="1:8" ht="13.5" thickBot="1" x14ac:dyDescent="0.25">
      <c r="C8" s="245"/>
      <c r="E8" s="4"/>
      <c r="F8" s="4"/>
      <c r="G8" s="4"/>
    </row>
    <row r="9" spans="1:8" ht="15" x14ac:dyDescent="0.25">
      <c r="A9" s="357" t="s">
        <v>7</v>
      </c>
      <c r="B9" s="358"/>
      <c r="C9" s="359"/>
      <c r="F9" s="381" t="s">
        <v>8</v>
      </c>
      <c r="G9" s="381"/>
    </row>
    <row r="10" spans="1:8" ht="15" thickBot="1" x14ac:dyDescent="0.25">
      <c r="A10" s="360" t="s">
        <v>9</v>
      </c>
      <c r="B10" s="353" t="s">
        <v>234</v>
      </c>
      <c r="C10" s="361"/>
      <c r="E10" s="4" t="s">
        <v>10</v>
      </c>
      <c r="F10" s="4" t="s">
        <v>11</v>
      </c>
      <c r="G10" s="4" t="s">
        <v>12</v>
      </c>
      <c r="H10" s="246"/>
    </row>
    <row r="11" spans="1:8" ht="14.25" x14ac:dyDescent="0.2">
      <c r="A11" s="362" t="s">
        <v>13</v>
      </c>
      <c r="B11" s="352" t="s">
        <v>14</v>
      </c>
      <c r="C11" s="363"/>
      <c r="E11" s="4" t="s">
        <v>15</v>
      </c>
      <c r="F11" s="284">
        <f>B14</f>
        <v>0</v>
      </c>
      <c r="G11" s="284">
        <f>IF(B14&gt;B31,B31,B14)</f>
        <v>0</v>
      </c>
    </row>
    <row r="12" spans="1:8" ht="13.5" thickBot="1" x14ac:dyDescent="0.25">
      <c r="A12" s="364" t="s">
        <v>16</v>
      </c>
      <c r="B12" s="354"/>
      <c r="C12" s="365" t="s">
        <v>17</v>
      </c>
      <c r="E12" s="4" t="s">
        <v>14</v>
      </c>
      <c r="F12" s="284">
        <f>B30</f>
        <v>0.38500000000000001</v>
      </c>
      <c r="G12" s="284">
        <f>B31</f>
        <v>0.13500000000000001</v>
      </c>
    </row>
    <row r="13" spans="1:8" ht="14.25" x14ac:dyDescent="0.2">
      <c r="A13" s="362" t="s">
        <v>18</v>
      </c>
      <c r="B13" s="352" t="s">
        <v>14</v>
      </c>
      <c r="C13" s="363"/>
    </row>
    <row r="14" spans="1:8" ht="13.5" thickBot="1" x14ac:dyDescent="0.25">
      <c r="A14" s="364" t="s">
        <v>19</v>
      </c>
      <c r="B14" s="355"/>
      <c r="C14" s="361" t="s">
        <v>20</v>
      </c>
    </row>
    <row r="15" spans="1:8" ht="40.5" customHeight="1" thickBot="1" x14ac:dyDescent="0.25">
      <c r="A15" s="366" t="s">
        <v>21</v>
      </c>
      <c r="B15" s="356" t="s">
        <v>11</v>
      </c>
      <c r="C15" s="367" t="s">
        <v>22</v>
      </c>
      <c r="E15" t="s">
        <v>224</v>
      </c>
    </row>
    <row r="16" spans="1:8" ht="14.25" x14ac:dyDescent="0.2">
      <c r="A16" s="362" t="s">
        <v>23</v>
      </c>
      <c r="B16" s="303" t="s">
        <v>24</v>
      </c>
      <c r="C16" s="379" t="s">
        <v>25</v>
      </c>
      <c r="E16" s="245" t="s">
        <v>220</v>
      </c>
    </row>
    <row r="17" spans="1:5" ht="15" thickBot="1" x14ac:dyDescent="0.25">
      <c r="A17" s="360"/>
      <c r="B17" s="368" t="s">
        <v>26</v>
      </c>
      <c r="C17" s="380"/>
      <c r="E17" s="245" t="s">
        <v>221</v>
      </c>
    </row>
    <row r="18" spans="1:5" ht="14.25" x14ac:dyDescent="0.2">
      <c r="A18" s="272"/>
      <c r="B18" s="304"/>
      <c r="C18" s="245"/>
      <c r="E18" t="s">
        <v>222</v>
      </c>
    </row>
    <row r="19" spans="1:5" ht="13.5" thickBot="1" x14ac:dyDescent="0.25">
      <c r="A19" s="273" t="s">
        <v>27</v>
      </c>
      <c r="B19" s="274"/>
      <c r="C19" s="245"/>
    </row>
    <row r="20" spans="1:5" x14ac:dyDescent="0.2">
      <c r="A20" s="464" t="s">
        <v>233</v>
      </c>
      <c r="B20" s="465"/>
      <c r="E20" t="s">
        <v>223</v>
      </c>
    </row>
    <row r="21" spans="1:5" x14ac:dyDescent="0.2">
      <c r="A21" s="278" t="s">
        <v>28</v>
      </c>
      <c r="B21" s="253">
        <v>228000</v>
      </c>
      <c r="E21" t="s">
        <v>217</v>
      </c>
    </row>
    <row r="22" spans="1:5" ht="13.5" thickBot="1" x14ac:dyDescent="0.25">
      <c r="A22" s="279" t="s">
        <v>29</v>
      </c>
      <c r="B22" s="256">
        <f>B21/12</f>
        <v>19000</v>
      </c>
      <c r="C22" s="245"/>
      <c r="E22" t="s">
        <v>218</v>
      </c>
    </row>
    <row r="23" spans="1:5" x14ac:dyDescent="0.2">
      <c r="A23" s="257" t="s">
        <v>30</v>
      </c>
      <c r="B23" s="259"/>
      <c r="C23" s="245"/>
      <c r="E23" t="s">
        <v>219</v>
      </c>
    </row>
    <row r="24" spans="1:5" x14ac:dyDescent="0.2">
      <c r="A24" s="280" t="s">
        <v>31</v>
      </c>
      <c r="B24" s="262">
        <v>0.35499999999999998</v>
      </c>
      <c r="C24" s="245"/>
    </row>
    <row r="25" spans="1:5" x14ac:dyDescent="0.2">
      <c r="A25" s="280" t="s">
        <v>32</v>
      </c>
      <c r="B25" s="262">
        <v>0.28599999999999998</v>
      </c>
      <c r="C25" s="245"/>
    </row>
    <row r="26" spans="1:5" x14ac:dyDescent="0.2">
      <c r="A26" s="281" t="s">
        <v>33</v>
      </c>
      <c r="B26" s="262">
        <v>0.22</v>
      </c>
      <c r="C26" s="245"/>
    </row>
    <row r="27" spans="1:5" x14ac:dyDescent="0.2">
      <c r="A27" s="281" t="s">
        <v>34</v>
      </c>
      <c r="B27" s="270">
        <v>0.11</v>
      </c>
    </row>
    <row r="28" spans="1:5" ht="13.5" thickBot="1" x14ac:dyDescent="0.25">
      <c r="A28" s="282" t="s">
        <v>35</v>
      </c>
      <c r="B28" s="277">
        <v>0.05</v>
      </c>
    </row>
    <row r="29" spans="1:5" x14ac:dyDescent="0.2">
      <c r="A29" s="275" t="s">
        <v>36</v>
      </c>
      <c r="B29" s="276"/>
    </row>
    <row r="30" spans="1:5" x14ac:dyDescent="0.2">
      <c r="A30" s="281" t="s">
        <v>37</v>
      </c>
      <c r="B30" s="270">
        <v>0.38500000000000001</v>
      </c>
    </row>
    <row r="31" spans="1:5" x14ac:dyDescent="0.2">
      <c r="A31" s="283" t="s">
        <v>38</v>
      </c>
      <c r="B31" s="265">
        <v>0.13500000000000001</v>
      </c>
    </row>
    <row r="34" spans="1:3" x14ac:dyDescent="0.2">
      <c r="A34" s="377"/>
      <c r="B34" s="377"/>
      <c r="C34" s="377"/>
    </row>
    <row r="35" spans="1:3" ht="14.25" customHeight="1" x14ac:dyDescent="0.2">
      <c r="A35" s="377"/>
      <c r="B35" s="377"/>
      <c r="C35" s="377"/>
    </row>
  </sheetData>
  <sheetProtection sheet="1" objects="1" scenarios="1"/>
  <mergeCells count="11">
    <mergeCell ref="F9:G9"/>
    <mergeCell ref="A4:C4"/>
    <mergeCell ref="A5:C5"/>
    <mergeCell ref="A6:C6"/>
    <mergeCell ref="A7:C7"/>
    <mergeCell ref="A1:C1"/>
    <mergeCell ref="A34:C34"/>
    <mergeCell ref="A35:C35"/>
    <mergeCell ref="A2:C2"/>
    <mergeCell ref="C16:C17"/>
    <mergeCell ref="A20:B20"/>
  </mergeCells>
  <dataValidations count="4">
    <dataValidation type="list" allowBlank="1" showInputMessage="1" showErrorMessage="1" sqref="B10" xr:uid="{40B1A912-A3DD-4AA6-925C-FEBCF9334E0B}">
      <formula1>"Federal,Non-Federal"</formula1>
    </dataValidation>
    <dataValidation type="list" allowBlank="1" showInputMessage="1" showErrorMessage="1" sqref="B15" xr:uid="{83CB5EC2-0464-48FF-BE0E-04B7E2EBD083}">
      <formula1>"On campus,Off campus"</formula1>
    </dataValidation>
    <dataValidation type="list" allowBlank="1" showInputMessage="1" showErrorMessage="1" sqref="B11 B13" xr:uid="{62778BBB-7A9D-4550-B555-713ADE91B687}">
      <formula1>"Yes,No"</formula1>
    </dataValidation>
    <dataValidation type="list" allowBlank="1" showInputMessage="1" showErrorMessage="1" sqref="B16" xr:uid="{B6BDDE87-169E-432E-B193-55D1B4EADC03}">
      <formula1>"MTDC, TDC"</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A125"/>
  <sheetViews>
    <sheetView tabSelected="1" topLeftCell="A6" zoomScaleNormal="100" workbookViewId="0">
      <pane xSplit="2" topLeftCell="C1" activePane="topRight" state="frozen"/>
      <selection pane="topRight" activeCell="A23" sqref="A23"/>
    </sheetView>
  </sheetViews>
  <sheetFormatPr defaultRowHeight="12.75" outlineLevelRow="1" outlineLevelCol="1" x14ac:dyDescent="0.2"/>
  <cols>
    <col min="1" max="1" width="38.42578125" style="4" customWidth="1"/>
    <col min="2" max="2" width="11.140625" style="4" customWidth="1"/>
    <col min="3" max="3" width="10" style="4" customWidth="1"/>
    <col min="4" max="4" width="7.140625" style="4" customWidth="1"/>
    <col min="5" max="5" width="10.140625" style="4" customWidth="1"/>
    <col min="6" max="6" width="10" style="4" customWidth="1"/>
    <col min="7" max="7" width="10.28515625" style="4" customWidth="1"/>
    <col min="8" max="8" width="9.42578125" style="4" customWidth="1"/>
    <col min="9" max="9" width="8.5703125" style="4" customWidth="1"/>
    <col min="10" max="10" width="7.28515625" style="4" customWidth="1"/>
    <col min="11" max="11" width="11.42578125" style="4" customWidth="1"/>
    <col min="12" max="12" width="10.42578125" style="4" customWidth="1"/>
    <col min="13" max="13" width="8.28515625" style="4" customWidth="1"/>
    <col min="14" max="14" width="9.42578125" style="4" customWidth="1"/>
    <col min="15" max="15" width="8.5703125" style="4" customWidth="1"/>
    <col min="16" max="16" width="7.42578125" style="4" customWidth="1"/>
    <col min="17" max="17" width="9.140625" style="4" customWidth="1"/>
    <col min="18" max="18" width="10" style="4" customWidth="1"/>
    <col min="19" max="19" width="10.28515625" style="4" customWidth="1"/>
    <col min="20" max="20" width="10" style="4" customWidth="1"/>
    <col min="21" max="21" width="8.5703125" style="4" customWidth="1"/>
    <col min="22" max="22" width="7.7109375" style="4" customWidth="1"/>
    <col min="23" max="23" width="9.5703125" style="4" customWidth="1"/>
    <col min="24" max="24" width="9.85546875" style="4" customWidth="1"/>
    <col min="25" max="25" width="8.7109375" style="4" customWidth="1"/>
    <col min="26" max="26" width="9.28515625" style="4" customWidth="1"/>
    <col min="27" max="27" width="8.5703125" style="4" customWidth="1"/>
    <col min="28" max="28" width="7.42578125" style="4" customWidth="1"/>
    <col min="29" max="29" width="9.42578125" style="4" customWidth="1"/>
    <col min="30" max="30" width="10.28515625" style="4" customWidth="1"/>
    <col min="31" max="31" width="8.140625" style="4" customWidth="1"/>
    <col min="32" max="32" width="9.85546875" style="4" customWidth="1"/>
    <col min="33" max="33" width="8.5703125" style="4" customWidth="1"/>
    <col min="34" max="34" width="7.42578125" style="4" customWidth="1"/>
    <col min="35" max="35" width="9.42578125" style="4" customWidth="1"/>
    <col min="36" max="36" width="10.28515625" style="4" customWidth="1"/>
    <col min="37" max="37" width="8.140625" style="4" customWidth="1"/>
    <col min="38" max="38" width="9.85546875" style="4" customWidth="1"/>
    <col min="39" max="39" width="8.5703125" style="4" customWidth="1"/>
    <col min="40" max="40" width="7.42578125" style="4" customWidth="1"/>
    <col min="41" max="41" width="9.42578125" style="4" customWidth="1"/>
    <col min="42" max="42" width="10.28515625" style="4" customWidth="1"/>
    <col min="43" max="43" width="8.140625" style="4" customWidth="1"/>
    <col min="44" max="44" width="9.85546875" style="4" customWidth="1"/>
    <col min="45" max="45" width="14.85546875" style="7" customWidth="1"/>
    <col min="46" max="46" width="39" style="4" customWidth="1"/>
    <col min="47" max="47" width="12.42578125" style="4" customWidth="1"/>
    <col min="48" max="48" width="9.42578125" style="4" customWidth="1" outlineLevel="1"/>
    <col min="49" max="49" width="9.140625" style="1" customWidth="1" outlineLevel="1"/>
    <col min="50" max="50" width="12.42578125" style="2" customWidth="1" outlineLevel="1"/>
    <col min="51" max="51" width="10.42578125" style="3" customWidth="1" outlineLevel="1"/>
    <col min="52" max="56" width="9.140625" style="4" customWidth="1" outlineLevel="1"/>
    <col min="57" max="16384" width="9.140625" style="4"/>
  </cols>
  <sheetData>
    <row r="1" spans="1:74" ht="14.1" customHeight="1" x14ac:dyDescent="0.2">
      <c r="A1" s="248" t="s">
        <v>39</v>
      </c>
      <c r="B1" s="48"/>
      <c r="C1" s="49"/>
      <c r="D1" s="50"/>
      <c r="E1" s="50"/>
      <c r="F1" s="241" t="s">
        <v>40</v>
      </c>
      <c r="G1" s="49"/>
      <c r="H1" s="134"/>
      <c r="I1" s="250" t="str">
        <f>IF(AND('START HERE'!B11="Yes",'START HERE'!B12=""),"Missing data in START HERE!","Salary Cap")</f>
        <v>Salary Cap</v>
      </c>
      <c r="J1" s="301"/>
      <c r="K1" s="251"/>
      <c r="L1" s="302" t="str">
        <f>IF('START HERE'!B11="No","(Not Applicable)","")</f>
        <v>(Not Applicable)</v>
      </c>
      <c r="M1" s="134"/>
      <c r="N1" s="300" t="s">
        <v>41</v>
      </c>
      <c r="O1" s="132"/>
      <c r="P1" s="132"/>
      <c r="Q1" s="132"/>
      <c r="R1" s="132"/>
      <c r="S1" s="132"/>
      <c r="T1" s="132"/>
      <c r="U1" s="132"/>
      <c r="V1" s="132"/>
      <c r="W1" s="132"/>
      <c r="X1" s="132"/>
      <c r="Y1" s="132"/>
      <c r="Z1" s="132"/>
      <c r="AA1" s="132"/>
      <c r="AB1" s="132"/>
      <c r="AC1" s="132"/>
      <c r="AD1" s="132"/>
      <c r="AE1" s="132"/>
      <c r="AF1" s="132"/>
      <c r="AG1" s="132"/>
      <c r="AH1" s="132"/>
      <c r="AI1" s="132"/>
      <c r="AJ1" s="132"/>
      <c r="AK1" s="132"/>
      <c r="AL1" s="132"/>
      <c r="AM1" s="132"/>
      <c r="AN1" s="132"/>
      <c r="AO1" s="132"/>
      <c r="AP1" s="132"/>
      <c r="AQ1" s="132"/>
      <c r="AR1" s="132"/>
      <c r="AS1" s="133"/>
      <c r="AT1" s="115"/>
    </row>
    <row r="2" spans="1:74" ht="14.1" customHeight="1" x14ac:dyDescent="0.2">
      <c r="A2" s="248" t="s">
        <v>42</v>
      </c>
      <c r="B2" s="48"/>
      <c r="C2" s="51"/>
      <c r="D2" s="52"/>
      <c r="E2" s="52"/>
      <c r="F2" s="240" t="s">
        <v>43</v>
      </c>
      <c r="G2" s="51"/>
      <c r="H2" s="134"/>
      <c r="I2" s="252" t="s">
        <v>44</v>
      </c>
      <c r="J2" s="136"/>
      <c r="K2" s="136"/>
      <c r="L2" s="253">
        <f>IF('START HERE'!B11="Yes",'START HERE'!B12,0)</f>
        <v>0</v>
      </c>
      <c r="M2" s="134"/>
      <c r="N2" s="135" t="s">
        <v>45</v>
      </c>
      <c r="O2" s="134"/>
      <c r="P2" s="134"/>
      <c r="Q2" s="134"/>
      <c r="R2" s="134"/>
      <c r="S2" s="134"/>
      <c r="T2" s="134"/>
      <c r="U2" s="134"/>
      <c r="V2" s="134"/>
      <c r="W2" s="134"/>
      <c r="X2" s="134"/>
      <c r="Y2" s="134"/>
      <c r="Z2" s="134"/>
      <c r="AA2" s="134"/>
      <c r="AB2" s="134"/>
      <c r="AC2" s="134"/>
      <c r="AD2" s="134"/>
      <c r="AE2" s="134"/>
      <c r="AF2" s="134"/>
      <c r="AG2" s="134"/>
      <c r="AH2" s="134"/>
      <c r="AI2" s="134"/>
      <c r="AJ2" s="134"/>
      <c r="AK2" s="134"/>
      <c r="AL2" s="134"/>
      <c r="AM2" s="134"/>
      <c r="AN2" s="134"/>
      <c r="AO2" s="134"/>
      <c r="AP2" s="134"/>
      <c r="AQ2" s="134"/>
      <c r="AR2" s="134"/>
      <c r="AS2" s="135"/>
      <c r="AT2" s="116"/>
    </row>
    <row r="3" spans="1:74" ht="14.1" customHeight="1" thickBot="1" x14ac:dyDescent="0.25">
      <c r="A3" s="248" t="s">
        <v>46</v>
      </c>
      <c r="B3" s="48"/>
      <c r="C3" s="51"/>
      <c r="D3" s="52"/>
      <c r="E3" s="52"/>
      <c r="F3" s="240" t="s">
        <v>231</v>
      </c>
      <c r="G3" s="51"/>
      <c r="H3" s="134"/>
      <c r="I3" s="254" t="s">
        <v>47</v>
      </c>
      <c r="J3" s="255"/>
      <c r="K3" s="255"/>
      <c r="L3" s="253">
        <f>IF('START HERE'!B11="Yes",L2/12,0)</f>
        <v>0</v>
      </c>
      <c r="M3" s="134"/>
      <c r="N3" s="135" t="s">
        <v>48</v>
      </c>
      <c r="O3" s="134"/>
      <c r="P3" s="134"/>
      <c r="Q3" s="134"/>
      <c r="R3" s="134"/>
      <c r="S3" s="134"/>
      <c r="T3" s="134"/>
      <c r="U3" s="134"/>
      <c r="V3" s="134"/>
      <c r="W3" s="134"/>
      <c r="X3" s="134"/>
      <c r="Y3" s="134"/>
      <c r="Z3" s="134"/>
      <c r="AA3" s="134"/>
      <c r="AB3" s="134"/>
      <c r="AC3" s="134"/>
      <c r="AD3" s="134"/>
      <c r="AE3" s="134"/>
      <c r="AF3" s="134"/>
      <c r="AG3" s="134"/>
      <c r="AH3" s="134"/>
      <c r="AI3" s="134"/>
      <c r="AJ3" s="134"/>
      <c r="AK3" s="134"/>
      <c r="AL3" s="134"/>
      <c r="AM3" s="134"/>
      <c r="AN3" s="134"/>
      <c r="AO3" s="134"/>
      <c r="AP3" s="134"/>
      <c r="AQ3" s="134"/>
      <c r="AR3" s="134"/>
      <c r="AS3" s="135"/>
      <c r="AT3" s="116"/>
    </row>
    <row r="4" spans="1:74" s="5" customFormat="1" ht="14.1" customHeight="1" x14ac:dyDescent="0.2">
      <c r="A4" s="249" t="s">
        <v>49</v>
      </c>
      <c r="B4" s="53"/>
      <c r="C4" s="51"/>
      <c r="D4" s="52"/>
      <c r="E4" s="52"/>
      <c r="F4" s="51"/>
      <c r="G4" s="51"/>
      <c r="H4" s="134"/>
      <c r="I4" s="257" t="s">
        <v>50</v>
      </c>
      <c r="J4" s="257"/>
      <c r="K4" s="258"/>
      <c r="L4" s="259"/>
      <c r="M4" s="134"/>
      <c r="N4" s="135" t="s">
        <v>51</v>
      </c>
      <c r="O4" s="139"/>
      <c r="P4" s="139"/>
      <c r="Q4" s="139"/>
      <c r="R4" s="139"/>
      <c r="S4" s="139"/>
      <c r="T4" s="139"/>
      <c r="U4" s="139"/>
      <c r="V4" s="139"/>
      <c r="W4" s="139"/>
      <c r="X4" s="140"/>
      <c r="Y4" s="136"/>
      <c r="Z4" s="136"/>
      <c r="AA4" s="136"/>
      <c r="AB4" s="136"/>
      <c r="AC4" s="136"/>
      <c r="AD4" s="136"/>
      <c r="AE4" s="136"/>
      <c r="AF4" s="136"/>
      <c r="AG4" s="136"/>
      <c r="AH4" s="136"/>
      <c r="AI4" s="136"/>
      <c r="AJ4" s="136"/>
      <c r="AK4" s="136"/>
      <c r="AL4" s="136"/>
      <c r="AM4" s="136"/>
      <c r="AN4" s="136"/>
      <c r="AO4" s="136"/>
      <c r="AP4" s="136"/>
      <c r="AQ4" s="136"/>
      <c r="AR4" s="136"/>
      <c r="AS4" s="137"/>
      <c r="AT4" s="117"/>
      <c r="AU4" s="37"/>
      <c r="AV4" s="37"/>
      <c r="AW4" s="38"/>
      <c r="AX4" s="1"/>
      <c r="AY4" s="2"/>
      <c r="AZ4" s="3"/>
      <c r="BA4" s="4"/>
      <c r="BB4" s="4"/>
      <c r="BC4" s="4"/>
      <c r="BD4" s="4"/>
      <c r="BE4" s="4"/>
      <c r="BF4" s="4"/>
      <c r="BG4" s="4"/>
      <c r="BH4" s="4"/>
      <c r="BI4" s="4"/>
      <c r="BJ4" s="4"/>
      <c r="BK4" s="4"/>
      <c r="BL4" s="4"/>
      <c r="BM4" s="4"/>
      <c r="BN4" s="4"/>
      <c r="BO4" s="4"/>
      <c r="BP4" s="4"/>
      <c r="BQ4" s="4"/>
      <c r="BR4" s="4"/>
      <c r="BS4" s="4"/>
      <c r="BT4" s="4"/>
      <c r="BU4" s="4"/>
      <c r="BV4" s="4"/>
    </row>
    <row r="5" spans="1:74" s="5" customFormat="1" ht="14.1" customHeight="1" x14ac:dyDescent="0.2">
      <c r="A5" s="248" t="s">
        <v>52</v>
      </c>
      <c r="B5" s="53"/>
      <c r="C5" s="51"/>
      <c r="D5" s="52"/>
      <c r="E5" s="52"/>
      <c r="F5" s="51"/>
      <c r="G5" s="51"/>
      <c r="H5" s="134"/>
      <c r="I5" s="260" t="s">
        <v>53</v>
      </c>
      <c r="J5" s="260"/>
      <c r="K5" s="261"/>
      <c r="L5" s="262">
        <f>IF('START HERE'!B10="Federal",'START HERE'!B25,'START HERE'!B24)</f>
        <v>0.28599999999999998</v>
      </c>
      <c r="M5" s="134"/>
      <c r="N5" s="135" t="str">
        <f>IF('START HERE'!B11="Yes","If Base Salary turns RED, it exceeds the salary cap and the salary cap is used to calculate the Salary Requested.","")</f>
        <v/>
      </c>
      <c r="O5" s="139"/>
      <c r="P5" s="139"/>
      <c r="Q5" s="139"/>
      <c r="R5" s="139"/>
      <c r="S5" s="139"/>
      <c r="T5" s="139"/>
      <c r="U5" s="139"/>
      <c r="V5" s="139"/>
      <c r="W5" s="139"/>
      <c r="X5" s="140"/>
      <c r="Y5" s="141"/>
      <c r="Z5" s="141"/>
      <c r="AA5" s="141"/>
      <c r="AB5" s="136"/>
      <c r="AC5" s="136"/>
      <c r="AD5" s="136"/>
      <c r="AE5" s="136"/>
      <c r="AF5" s="136"/>
      <c r="AG5" s="141"/>
      <c r="AH5" s="136"/>
      <c r="AI5" s="136"/>
      <c r="AJ5" s="136"/>
      <c r="AK5" s="136"/>
      <c r="AL5" s="136"/>
      <c r="AM5" s="141"/>
      <c r="AN5" s="136"/>
      <c r="AO5" s="136"/>
      <c r="AP5" s="136"/>
      <c r="AQ5" s="136"/>
      <c r="AR5" s="136"/>
      <c r="AS5" s="137"/>
      <c r="AT5" s="117"/>
      <c r="AU5" s="37"/>
      <c r="AV5" s="37"/>
      <c r="AW5" s="38"/>
      <c r="AX5" s="1"/>
      <c r="AY5" s="2"/>
      <c r="AZ5" s="3"/>
      <c r="BA5" s="4"/>
      <c r="BB5" s="4"/>
      <c r="BC5" s="4"/>
      <c r="BD5" s="4"/>
      <c r="BE5" s="4"/>
      <c r="BF5" s="4"/>
      <c r="BG5" s="4"/>
      <c r="BH5" s="4"/>
      <c r="BI5" s="4"/>
      <c r="BJ5" s="4"/>
      <c r="BK5" s="4"/>
      <c r="BL5" s="4"/>
      <c r="BM5" s="4"/>
      <c r="BN5" s="4"/>
      <c r="BO5" s="4"/>
      <c r="BP5" s="4"/>
      <c r="BQ5" s="4"/>
      <c r="BR5" s="4"/>
      <c r="BS5" s="4"/>
      <c r="BT5" s="4"/>
      <c r="BU5" s="4"/>
      <c r="BV5" s="4"/>
    </row>
    <row r="6" spans="1:74" s="5" customFormat="1" ht="14.1" customHeight="1" x14ac:dyDescent="0.2">
      <c r="A6" s="138" t="s">
        <v>54</v>
      </c>
      <c r="B6" s="54"/>
      <c r="C6" s="51"/>
      <c r="D6" s="51"/>
      <c r="E6" s="51"/>
      <c r="F6" s="51"/>
      <c r="G6" s="51"/>
      <c r="H6" s="134"/>
      <c r="I6" s="263" t="s">
        <v>55</v>
      </c>
      <c r="J6" s="263"/>
      <c r="K6" s="264"/>
      <c r="L6" s="262">
        <f>'START HERE'!B26</f>
        <v>0.22</v>
      </c>
      <c r="M6" s="134"/>
      <c r="N6" s="139"/>
      <c r="O6" s="139"/>
      <c r="P6" s="134"/>
      <c r="Q6" s="139"/>
      <c r="R6" s="139"/>
      <c r="S6" s="139"/>
      <c r="T6" s="139"/>
      <c r="U6" s="139"/>
      <c r="V6" s="139"/>
      <c r="W6" s="139"/>
      <c r="X6" s="140"/>
      <c r="Y6" s="141"/>
      <c r="Z6" s="141"/>
      <c r="AA6" s="141"/>
      <c r="AB6" s="136"/>
      <c r="AC6" s="136"/>
      <c r="AD6" s="136"/>
      <c r="AE6" s="136"/>
      <c r="AF6" s="136"/>
      <c r="AG6" s="141"/>
      <c r="AH6" s="136"/>
      <c r="AI6" s="136"/>
      <c r="AJ6" s="136"/>
      <c r="AK6" s="136"/>
      <c r="AL6" s="136"/>
      <c r="AM6" s="141"/>
      <c r="AN6" s="136"/>
      <c r="AO6" s="136"/>
      <c r="AP6" s="136"/>
      <c r="AQ6" s="136"/>
      <c r="AR6" s="136"/>
      <c r="AS6" s="137"/>
      <c r="AT6" s="117"/>
      <c r="AU6" s="37"/>
      <c r="AV6" s="37"/>
      <c r="AW6" s="38"/>
      <c r="AX6" s="1"/>
      <c r="AY6" s="2"/>
      <c r="AZ6" s="3"/>
      <c r="BA6" s="4"/>
      <c r="BB6" s="4"/>
      <c r="BC6" s="4"/>
      <c r="BD6" s="4"/>
      <c r="BE6" s="4"/>
      <c r="BF6" s="4"/>
      <c r="BG6" s="4"/>
      <c r="BH6" s="4"/>
      <c r="BI6" s="4"/>
      <c r="BJ6" s="4"/>
      <c r="BK6" s="4"/>
      <c r="BL6" s="4"/>
      <c r="BM6" s="4"/>
      <c r="BN6" s="4"/>
      <c r="BO6" s="4"/>
      <c r="BP6" s="4"/>
      <c r="BQ6" s="4"/>
      <c r="BR6" s="4"/>
      <c r="BS6" s="4"/>
      <c r="BT6" s="4"/>
      <c r="BU6" s="4"/>
      <c r="BV6" s="4"/>
    </row>
    <row r="7" spans="1:74" s="5" customFormat="1" ht="14.1" customHeight="1" x14ac:dyDescent="0.2">
      <c r="A7" s="144" t="s">
        <v>56</v>
      </c>
      <c r="B7" s="66"/>
      <c r="C7" s="145"/>
      <c r="D7" s="145"/>
      <c r="E7" s="145"/>
      <c r="F7" s="135"/>
      <c r="G7" s="134"/>
      <c r="H7" s="134"/>
      <c r="I7" s="263" t="s">
        <v>57</v>
      </c>
      <c r="J7" s="263"/>
      <c r="K7" s="264"/>
      <c r="L7" s="270">
        <f>'START HERE'!B27</f>
        <v>0.11</v>
      </c>
      <c r="M7" s="134"/>
      <c r="N7" s="134"/>
      <c r="O7" s="134"/>
      <c r="P7" s="134"/>
      <c r="Q7" s="134"/>
      <c r="R7" s="134"/>
      <c r="S7" s="134"/>
      <c r="T7" s="134"/>
      <c r="U7" s="134"/>
      <c r="V7" s="134"/>
      <c r="W7" s="134"/>
      <c r="X7" s="136"/>
      <c r="Y7" s="136"/>
      <c r="Z7" s="136"/>
      <c r="AA7" s="136"/>
      <c r="AB7" s="142"/>
      <c r="AC7" s="142"/>
      <c r="AD7" s="136"/>
      <c r="AE7" s="136"/>
      <c r="AF7" s="136"/>
      <c r="AG7" s="136"/>
      <c r="AH7" s="142"/>
      <c r="AI7" s="142"/>
      <c r="AJ7" s="136"/>
      <c r="AK7" s="136"/>
      <c r="AL7" s="136"/>
      <c r="AM7" s="136"/>
      <c r="AN7" s="142"/>
      <c r="AO7" s="142"/>
      <c r="AP7" s="136"/>
      <c r="AQ7" s="136"/>
      <c r="AR7" s="136"/>
      <c r="AS7" s="137"/>
      <c r="AT7" s="117"/>
      <c r="AU7" s="37"/>
      <c r="AV7" s="37"/>
      <c r="AW7" s="38"/>
      <c r="AX7" s="1"/>
      <c r="AY7" s="2"/>
      <c r="AZ7" s="3"/>
      <c r="BA7" s="4"/>
      <c r="BB7" s="4"/>
      <c r="BC7" s="4"/>
      <c r="BD7" s="4"/>
      <c r="BE7" s="4"/>
      <c r="BF7" s="4"/>
      <c r="BG7" s="4"/>
      <c r="BH7" s="4"/>
      <c r="BI7" s="4"/>
      <c r="BJ7" s="4"/>
      <c r="BK7" s="4"/>
      <c r="BL7" s="4"/>
      <c r="BM7" s="4"/>
      <c r="BN7" s="4"/>
      <c r="BO7" s="4"/>
      <c r="BP7" s="4"/>
      <c r="BQ7" s="4"/>
      <c r="BR7" s="4"/>
      <c r="BS7" s="4"/>
      <c r="BT7" s="4"/>
      <c r="BU7" s="4"/>
      <c r="BV7" s="4"/>
    </row>
    <row r="8" spans="1:74" s="5" customFormat="1" ht="14.1" customHeight="1" thickBot="1" x14ac:dyDescent="0.25">
      <c r="A8" s="146" t="s">
        <v>58</v>
      </c>
      <c r="B8" s="305"/>
      <c r="C8" s="134"/>
      <c r="D8" s="135"/>
      <c r="E8" s="135"/>
      <c r="F8" s="135"/>
      <c r="G8" s="134"/>
      <c r="H8" s="134"/>
      <c r="I8" s="169" t="s">
        <v>59</v>
      </c>
      <c r="J8" s="169"/>
      <c r="K8" s="134"/>
      <c r="L8" s="262">
        <f>'START HERE'!B28</f>
        <v>0.05</v>
      </c>
      <c r="M8" s="134"/>
      <c r="N8" s="134"/>
      <c r="O8" s="134"/>
      <c r="P8" s="134"/>
      <c r="Q8" s="134"/>
      <c r="R8" s="134"/>
      <c r="S8" s="134"/>
      <c r="T8" s="134"/>
      <c r="U8" s="134"/>
      <c r="V8" s="134"/>
      <c r="W8" s="134"/>
      <c r="X8" s="136"/>
      <c r="Y8" s="136"/>
      <c r="Z8" s="136"/>
      <c r="AA8" s="136"/>
      <c r="AB8" s="136"/>
      <c r="AC8" s="136"/>
      <c r="AD8" s="136"/>
      <c r="AE8" s="136"/>
      <c r="AF8" s="136"/>
      <c r="AG8" s="136"/>
      <c r="AH8" s="136"/>
      <c r="AI8" s="136"/>
      <c r="AJ8" s="136"/>
      <c r="AK8" s="136"/>
      <c r="AL8" s="136"/>
      <c r="AM8" s="136"/>
      <c r="AN8" s="136"/>
      <c r="AO8" s="136"/>
      <c r="AP8" s="136"/>
      <c r="AQ8" s="136"/>
      <c r="AR8" s="136"/>
      <c r="AS8" s="137"/>
      <c r="AT8" s="117"/>
      <c r="AU8" s="37"/>
      <c r="AV8" s="37"/>
      <c r="AW8" s="38"/>
      <c r="AX8" s="1"/>
      <c r="AY8" s="2"/>
      <c r="AZ8" s="3"/>
      <c r="BA8" s="4"/>
      <c r="BB8" s="4"/>
      <c r="BC8" s="4"/>
      <c r="BD8" s="4"/>
      <c r="BE8" s="4"/>
      <c r="BF8" s="4"/>
      <c r="BG8" s="4"/>
      <c r="BH8" s="4"/>
      <c r="BI8" s="4"/>
      <c r="BJ8" s="4"/>
      <c r="BK8" s="4"/>
      <c r="BL8" s="4"/>
      <c r="BM8" s="4"/>
      <c r="BN8" s="4"/>
      <c r="BO8" s="4"/>
      <c r="BP8" s="4"/>
      <c r="BQ8" s="4"/>
      <c r="BR8" s="4"/>
      <c r="BS8" s="4"/>
      <c r="BT8" s="4"/>
      <c r="BU8" s="4"/>
      <c r="BV8" s="4"/>
    </row>
    <row r="9" spans="1:74" s="6" customFormat="1" ht="15" customHeight="1" thickBot="1" x14ac:dyDescent="0.25">
      <c r="A9" s="134"/>
      <c r="B9" s="134"/>
      <c r="C9" s="134"/>
      <c r="D9" s="135"/>
      <c r="E9" s="135"/>
      <c r="F9" s="135"/>
      <c r="G9" s="134"/>
      <c r="H9" s="134"/>
      <c r="I9" s="266"/>
      <c r="J9" s="267"/>
      <c r="K9" s="268" t="s">
        <v>60</v>
      </c>
      <c r="L9" s="269">
        <f>INDEX('START HERE'!F11:G12,MATCH('START HERE'!B13,'START HERE'!E11:E12,0),MATCH('START HERE'!B15,'START HERE'!F10:G10,0))</f>
        <v>0.38500000000000001</v>
      </c>
      <c r="M9" s="134"/>
      <c r="N9" s="135"/>
      <c r="O9" s="135"/>
      <c r="P9" s="134"/>
      <c r="Q9" s="134"/>
      <c r="R9" s="135"/>
      <c r="S9" s="135"/>
      <c r="T9" s="135"/>
      <c r="U9" s="135"/>
      <c r="V9" s="135"/>
      <c r="W9" s="135"/>
      <c r="X9" s="143"/>
      <c r="Y9" s="143"/>
      <c r="Z9" s="143"/>
      <c r="AA9" s="143"/>
      <c r="AB9" s="135"/>
      <c r="AC9" s="135"/>
      <c r="AD9" s="135"/>
      <c r="AE9" s="135"/>
      <c r="AF9" s="135"/>
      <c r="AG9" s="143"/>
      <c r="AH9" s="135"/>
      <c r="AI9" s="135"/>
      <c r="AJ9" s="135"/>
      <c r="AK9" s="135"/>
      <c r="AL9" s="135"/>
      <c r="AM9" s="143"/>
      <c r="AN9" s="135"/>
      <c r="AO9" s="135"/>
      <c r="AP9" s="135"/>
      <c r="AQ9" s="135"/>
      <c r="AR9" s="135"/>
      <c r="AS9" s="135"/>
      <c r="AT9" s="118"/>
      <c r="AU9" s="7"/>
      <c r="AV9" s="7"/>
      <c r="AW9" s="8"/>
      <c r="AX9" s="9"/>
      <c r="AY9" s="10"/>
      <c r="AZ9" s="7"/>
      <c r="BA9" s="7"/>
      <c r="BB9" s="7"/>
      <c r="BC9" s="7"/>
      <c r="BD9" s="7"/>
      <c r="BE9" s="7"/>
      <c r="BF9" s="7"/>
      <c r="BG9" s="7"/>
      <c r="BH9" s="7"/>
      <c r="BI9" s="7"/>
      <c r="BJ9" s="7"/>
      <c r="BK9" s="7"/>
      <c r="BL9" s="7"/>
      <c r="BM9" s="7"/>
      <c r="BN9" s="7"/>
      <c r="BO9" s="7"/>
      <c r="BP9" s="7"/>
      <c r="BQ9" s="7"/>
      <c r="BR9" s="7"/>
      <c r="BS9" s="7"/>
      <c r="BT9" s="7"/>
      <c r="BU9" s="7"/>
      <c r="BV9" s="7"/>
    </row>
    <row r="10" spans="1:74" x14ac:dyDescent="0.2">
      <c r="A10" s="146"/>
      <c r="B10" s="147" t="s">
        <v>61</v>
      </c>
      <c r="C10" s="55"/>
      <c r="D10" s="135"/>
      <c r="E10" s="135"/>
      <c r="F10" s="147" t="s">
        <v>62</v>
      </c>
      <c r="G10" s="55"/>
      <c r="H10" s="134"/>
      <c r="I10" s="134"/>
      <c r="J10" s="134"/>
      <c r="K10" s="134"/>
      <c r="L10" s="134"/>
      <c r="M10" s="134"/>
      <c r="N10" s="134"/>
      <c r="O10" s="134"/>
      <c r="P10" s="134"/>
      <c r="Q10" s="134"/>
      <c r="R10" s="134"/>
      <c r="S10" s="134"/>
      <c r="T10" s="134"/>
      <c r="U10" s="134"/>
      <c r="V10" s="134"/>
      <c r="W10" s="134"/>
      <c r="X10" s="134"/>
      <c r="Y10" s="134"/>
      <c r="Z10" s="134"/>
      <c r="AA10" s="134"/>
      <c r="AB10" s="134"/>
      <c r="AC10" s="134"/>
      <c r="AD10" s="134"/>
      <c r="AE10" s="134"/>
      <c r="AF10" s="134"/>
      <c r="AG10" s="134"/>
      <c r="AH10" s="134"/>
      <c r="AI10" s="134"/>
      <c r="AJ10" s="134"/>
      <c r="AK10" s="134"/>
      <c r="AL10" s="134"/>
      <c r="AM10" s="134"/>
      <c r="AN10" s="134"/>
      <c r="AO10" s="134"/>
      <c r="AP10" s="134"/>
      <c r="AQ10" s="134"/>
      <c r="AR10" s="134"/>
      <c r="AS10" s="135"/>
      <c r="AT10" s="119"/>
    </row>
    <row r="11" spans="1:74" x14ac:dyDescent="0.2">
      <c r="A11" s="148"/>
      <c r="B11" s="149"/>
      <c r="C11" s="149"/>
      <c r="D11" s="149"/>
      <c r="E11" s="150" t="s">
        <v>63</v>
      </c>
      <c r="F11" s="149"/>
      <c r="G11" s="150" t="s">
        <v>64</v>
      </c>
      <c r="H11" s="351">
        <v>0.03</v>
      </c>
      <c r="I11" s="135"/>
      <c r="J11" s="135"/>
      <c r="K11" s="135"/>
      <c r="L11" s="410" t="s">
        <v>65</v>
      </c>
      <c r="M11" s="411"/>
      <c r="N11" s="351">
        <v>0.03</v>
      </c>
      <c r="O11" s="135"/>
      <c r="P11" s="135"/>
      <c r="Q11" s="135"/>
      <c r="R11" s="410" t="s">
        <v>66</v>
      </c>
      <c r="S11" s="411"/>
      <c r="T11" s="351">
        <f>N11</f>
        <v>0.03</v>
      </c>
      <c r="U11" s="135"/>
      <c r="V11" s="135"/>
      <c r="W11" s="135"/>
      <c r="X11" s="410" t="s">
        <v>67</v>
      </c>
      <c r="Y11" s="411"/>
      <c r="Z11" s="351">
        <f>T11</f>
        <v>0.03</v>
      </c>
      <c r="AA11" s="135"/>
      <c r="AB11" s="135"/>
      <c r="AC11" s="135"/>
      <c r="AD11" s="410" t="s">
        <v>68</v>
      </c>
      <c r="AE11" s="411"/>
      <c r="AF11" s="351">
        <f>Z11</f>
        <v>0.03</v>
      </c>
      <c r="AG11" s="135"/>
      <c r="AH11" s="135"/>
      <c r="AI11" s="135"/>
      <c r="AJ11" s="410" t="s">
        <v>69</v>
      </c>
      <c r="AK11" s="411"/>
      <c r="AL11" s="351">
        <f>AF11</f>
        <v>0.03</v>
      </c>
      <c r="AM11" s="135"/>
      <c r="AN11" s="135"/>
      <c r="AO11" s="135"/>
      <c r="AP11" s="410" t="s">
        <v>70</v>
      </c>
      <c r="AQ11" s="411"/>
      <c r="AR11" s="351">
        <f>AL11</f>
        <v>0.03</v>
      </c>
      <c r="AS11" s="135"/>
      <c r="AT11" s="116"/>
    </row>
    <row r="12" spans="1:74" ht="13.5" thickBot="1" x14ac:dyDescent="0.25">
      <c r="A12" s="460" t="s">
        <v>71</v>
      </c>
      <c r="B12" s="207"/>
      <c r="C12" s="412" t="s">
        <v>72</v>
      </c>
      <c r="D12" s="413"/>
      <c r="E12" s="413"/>
      <c r="F12" s="413"/>
      <c r="G12" s="413"/>
      <c r="H12" s="413"/>
      <c r="I12" s="412" t="s">
        <v>73</v>
      </c>
      <c r="J12" s="413"/>
      <c r="K12" s="413"/>
      <c r="L12" s="413"/>
      <c r="M12" s="413"/>
      <c r="N12" s="413"/>
      <c r="O12" s="412" t="s">
        <v>74</v>
      </c>
      <c r="P12" s="413"/>
      <c r="Q12" s="413"/>
      <c r="R12" s="413"/>
      <c r="S12" s="413"/>
      <c r="T12" s="413"/>
      <c r="U12" s="412" t="s">
        <v>75</v>
      </c>
      <c r="V12" s="413"/>
      <c r="W12" s="413"/>
      <c r="X12" s="413"/>
      <c r="Y12" s="413"/>
      <c r="Z12" s="413"/>
      <c r="AA12" s="412" t="s">
        <v>76</v>
      </c>
      <c r="AB12" s="413"/>
      <c r="AC12" s="413"/>
      <c r="AD12" s="413"/>
      <c r="AE12" s="413"/>
      <c r="AF12" s="413"/>
      <c r="AG12" s="412" t="s">
        <v>77</v>
      </c>
      <c r="AH12" s="413"/>
      <c r="AI12" s="413"/>
      <c r="AJ12" s="413"/>
      <c r="AK12" s="413"/>
      <c r="AL12" s="413"/>
      <c r="AM12" s="412" t="s">
        <v>78</v>
      </c>
      <c r="AN12" s="413"/>
      <c r="AO12" s="413"/>
      <c r="AP12" s="413"/>
      <c r="AQ12" s="413"/>
      <c r="AR12" s="413"/>
      <c r="AS12" s="204"/>
      <c r="AT12" s="116"/>
    </row>
    <row r="13" spans="1:74" ht="15.75" customHeight="1" x14ac:dyDescent="0.2">
      <c r="A13" s="460"/>
      <c r="B13" s="461" t="s">
        <v>79</v>
      </c>
      <c r="C13" s="444" t="s">
        <v>80</v>
      </c>
      <c r="D13" s="446" t="s">
        <v>81</v>
      </c>
      <c r="E13" s="418" t="s">
        <v>82</v>
      </c>
      <c r="F13" s="446" t="s">
        <v>83</v>
      </c>
      <c r="G13" s="420" t="s">
        <v>84</v>
      </c>
      <c r="H13" s="422" t="s">
        <v>85</v>
      </c>
      <c r="I13" s="444" t="s">
        <v>80</v>
      </c>
      <c r="J13" s="446" t="s">
        <v>81</v>
      </c>
      <c r="K13" s="418" t="s">
        <v>86</v>
      </c>
      <c r="L13" s="446" t="s">
        <v>83</v>
      </c>
      <c r="M13" s="420" t="s">
        <v>84</v>
      </c>
      <c r="N13" s="422" t="s">
        <v>85</v>
      </c>
      <c r="O13" s="444" t="s">
        <v>80</v>
      </c>
      <c r="P13" s="446" t="s">
        <v>81</v>
      </c>
      <c r="Q13" s="418" t="s">
        <v>87</v>
      </c>
      <c r="R13" s="446" t="s">
        <v>83</v>
      </c>
      <c r="S13" s="420" t="s">
        <v>84</v>
      </c>
      <c r="T13" s="422" t="s">
        <v>85</v>
      </c>
      <c r="U13" s="444" t="s">
        <v>80</v>
      </c>
      <c r="V13" s="446" t="s">
        <v>81</v>
      </c>
      <c r="W13" s="418" t="s">
        <v>88</v>
      </c>
      <c r="X13" s="446" t="s">
        <v>83</v>
      </c>
      <c r="Y13" s="420" t="s">
        <v>84</v>
      </c>
      <c r="Z13" s="422" t="s">
        <v>85</v>
      </c>
      <c r="AA13" s="414" t="s">
        <v>80</v>
      </c>
      <c r="AB13" s="416" t="s">
        <v>81</v>
      </c>
      <c r="AC13" s="418" t="s">
        <v>89</v>
      </c>
      <c r="AD13" s="416" t="s">
        <v>83</v>
      </c>
      <c r="AE13" s="420" t="s">
        <v>84</v>
      </c>
      <c r="AF13" s="422" t="s">
        <v>85</v>
      </c>
      <c r="AG13" s="414" t="s">
        <v>80</v>
      </c>
      <c r="AH13" s="416" t="s">
        <v>81</v>
      </c>
      <c r="AI13" s="418" t="s">
        <v>90</v>
      </c>
      <c r="AJ13" s="416" t="s">
        <v>83</v>
      </c>
      <c r="AK13" s="420" t="s">
        <v>84</v>
      </c>
      <c r="AL13" s="422" t="s">
        <v>85</v>
      </c>
      <c r="AM13" s="414" t="s">
        <v>80</v>
      </c>
      <c r="AN13" s="416" t="s">
        <v>81</v>
      </c>
      <c r="AO13" s="418" t="s">
        <v>91</v>
      </c>
      <c r="AP13" s="416" t="s">
        <v>83</v>
      </c>
      <c r="AQ13" s="420" t="s">
        <v>84</v>
      </c>
      <c r="AR13" s="422" t="s">
        <v>85</v>
      </c>
      <c r="AS13" s="434" t="s">
        <v>92</v>
      </c>
      <c r="AT13" s="120"/>
      <c r="AW13" s="4"/>
      <c r="AX13" s="4"/>
      <c r="AY13" s="4"/>
    </row>
    <row r="14" spans="1:74" s="11" customFormat="1" x14ac:dyDescent="0.2">
      <c r="A14" s="206" t="s">
        <v>93</v>
      </c>
      <c r="B14" s="462"/>
      <c r="C14" s="463"/>
      <c r="D14" s="447"/>
      <c r="E14" s="419"/>
      <c r="F14" s="447"/>
      <c r="G14" s="421"/>
      <c r="H14" s="423"/>
      <c r="I14" s="445"/>
      <c r="J14" s="447"/>
      <c r="K14" s="419"/>
      <c r="L14" s="447"/>
      <c r="M14" s="421"/>
      <c r="N14" s="423"/>
      <c r="O14" s="445"/>
      <c r="P14" s="447"/>
      <c r="Q14" s="419"/>
      <c r="R14" s="447"/>
      <c r="S14" s="421"/>
      <c r="T14" s="423"/>
      <c r="U14" s="445"/>
      <c r="V14" s="447"/>
      <c r="W14" s="419"/>
      <c r="X14" s="447"/>
      <c r="Y14" s="421"/>
      <c r="Z14" s="423"/>
      <c r="AA14" s="415"/>
      <c r="AB14" s="417"/>
      <c r="AC14" s="419"/>
      <c r="AD14" s="417"/>
      <c r="AE14" s="421"/>
      <c r="AF14" s="423"/>
      <c r="AG14" s="415"/>
      <c r="AH14" s="417"/>
      <c r="AI14" s="419"/>
      <c r="AJ14" s="417"/>
      <c r="AK14" s="421"/>
      <c r="AL14" s="423"/>
      <c r="AM14" s="415"/>
      <c r="AN14" s="417"/>
      <c r="AO14" s="419"/>
      <c r="AP14" s="417"/>
      <c r="AQ14" s="421"/>
      <c r="AR14" s="423"/>
      <c r="AS14" s="435"/>
      <c r="AT14" s="121"/>
    </row>
    <row r="15" spans="1:74" s="3" customFormat="1" x14ac:dyDescent="0.2">
      <c r="A15" s="205" t="s">
        <v>94</v>
      </c>
      <c r="B15" s="462"/>
      <c r="C15" s="463"/>
      <c r="D15" s="447"/>
      <c r="E15" s="419"/>
      <c r="F15" s="447"/>
      <c r="G15" s="421"/>
      <c r="H15" s="423"/>
      <c r="I15" s="445"/>
      <c r="J15" s="447"/>
      <c r="K15" s="419"/>
      <c r="L15" s="447"/>
      <c r="M15" s="421"/>
      <c r="N15" s="423"/>
      <c r="O15" s="445"/>
      <c r="P15" s="447"/>
      <c r="Q15" s="419"/>
      <c r="R15" s="447"/>
      <c r="S15" s="421"/>
      <c r="T15" s="423"/>
      <c r="U15" s="445"/>
      <c r="V15" s="447"/>
      <c r="W15" s="419"/>
      <c r="X15" s="447"/>
      <c r="Y15" s="421"/>
      <c r="Z15" s="423"/>
      <c r="AA15" s="415"/>
      <c r="AB15" s="417"/>
      <c r="AC15" s="419"/>
      <c r="AD15" s="417"/>
      <c r="AE15" s="421"/>
      <c r="AF15" s="423"/>
      <c r="AG15" s="415"/>
      <c r="AH15" s="417"/>
      <c r="AI15" s="419"/>
      <c r="AJ15" s="417"/>
      <c r="AK15" s="421"/>
      <c r="AL15" s="423"/>
      <c r="AM15" s="415"/>
      <c r="AN15" s="417"/>
      <c r="AO15" s="419"/>
      <c r="AP15" s="417"/>
      <c r="AQ15" s="421"/>
      <c r="AR15" s="423"/>
      <c r="AS15" s="435"/>
      <c r="AT15" s="118" t="s">
        <v>95</v>
      </c>
      <c r="AU15" s="4"/>
      <c r="AV15" s="4"/>
      <c r="AW15" s="1"/>
      <c r="AX15" s="2"/>
    </row>
    <row r="16" spans="1:74" s="3" customFormat="1" x14ac:dyDescent="0.2">
      <c r="A16" s="56" t="s">
        <v>96</v>
      </c>
      <c r="B16" s="67"/>
      <c r="C16" s="68"/>
      <c r="D16" s="224">
        <f>9*C16</f>
        <v>0</v>
      </c>
      <c r="E16" s="223">
        <f>B16*(1+$H$11)</f>
        <v>0</v>
      </c>
      <c r="F16" s="96">
        <f>IF(AND('START HERE'!$B$11="Yes",E16&gt;=($L$3*9)),C16*($L$3*9),C16*E16)</f>
        <v>0</v>
      </c>
      <c r="G16" s="96">
        <f>ROUND(F16*$L$5,0)</f>
        <v>0</v>
      </c>
      <c r="H16" s="97">
        <f t="shared" ref="H16:H26" si="0">ROUND(SUM(F16:G16),0)</f>
        <v>0</v>
      </c>
      <c r="I16" s="68"/>
      <c r="J16" s="224">
        <f>9*I16</f>
        <v>0</v>
      </c>
      <c r="K16" s="223">
        <f t="shared" ref="K16:K26" si="1">IF($B$7&gt;1,B16*(1+$H$11)*(1+$N$11),0)</f>
        <v>0</v>
      </c>
      <c r="L16" s="96">
        <f>IF(AND('START HERE'!$B$11="Yes",K16&gt;=($L$3*9)),I16*($L$3*9),I16*K16)</f>
        <v>0</v>
      </c>
      <c r="M16" s="96">
        <f>ROUND(L16*$L$5,0)</f>
        <v>0</v>
      </c>
      <c r="N16" s="97">
        <f t="shared" ref="N16:N26" si="2">ROUND(SUM(L16:M16),0)</f>
        <v>0</v>
      </c>
      <c r="O16" s="68"/>
      <c r="P16" s="224">
        <f>9*O16</f>
        <v>0</v>
      </c>
      <c r="Q16" s="223">
        <f t="shared" ref="Q16:Q26" si="3">IF($B$7&gt;2,B16*(1+$H$11)*(1+$N$11)*(1+$T$11),0)</f>
        <v>0</v>
      </c>
      <c r="R16" s="96">
        <f>IF(AND('START HERE'!$B$11="Yes",Q16&gt;=($L$3*9)),O16*($L$3*9),O16*Q16)</f>
        <v>0</v>
      </c>
      <c r="S16" s="96">
        <f>ROUND(R16*$L$5,0)</f>
        <v>0</v>
      </c>
      <c r="T16" s="97">
        <f t="shared" ref="T16:T26" si="4">ROUND(SUM(R16:S16),0)</f>
        <v>0</v>
      </c>
      <c r="U16" s="68"/>
      <c r="V16" s="224">
        <f>9*U16</f>
        <v>0</v>
      </c>
      <c r="W16" s="223">
        <f t="shared" ref="W16:W26" si="5">IF($B$7&gt;3,B16*(1+$H$11)*(1+$N$11)*(1+$T$11)*(1+$Z$11),0)</f>
        <v>0</v>
      </c>
      <c r="X16" s="96">
        <f>IF(AND('START HERE'!$B$11="Yes",W16&gt;=($L$3*9)),U16*($L$3*9),U16*W16)</f>
        <v>0</v>
      </c>
      <c r="Y16" s="96">
        <f>ROUND(X16*$L$5,0)</f>
        <v>0</v>
      </c>
      <c r="Z16" s="97">
        <f t="shared" ref="Z16:Z26" si="6">ROUND(SUM(X16:Y16),0)</f>
        <v>0</v>
      </c>
      <c r="AA16" s="68"/>
      <c r="AB16" s="224">
        <f>9*AA16</f>
        <v>0</v>
      </c>
      <c r="AC16" s="223">
        <f t="shared" ref="AC16:AC26" si="7">IF($B$7&gt;4,B16*(1+$H$11)*(1+$N$11)*(1+$T$11)*(1+$Z$11)*(1+$AF$11),0)</f>
        <v>0</v>
      </c>
      <c r="AD16" s="96">
        <f>IF(AND('START HERE'!$B$11="Yes",AC16&gt;=($L$3*9)),AA16*($L$3*9),AA16*AC16)</f>
        <v>0</v>
      </c>
      <c r="AE16" s="96">
        <f>ROUND(AD16*$L$5,0)</f>
        <v>0</v>
      </c>
      <c r="AF16" s="97">
        <f t="shared" ref="AF16:AF26" si="8">ROUND(SUM(AD16:AE16),0)</f>
        <v>0</v>
      </c>
      <c r="AG16" s="68"/>
      <c r="AH16" s="224">
        <f>9*AG16</f>
        <v>0</v>
      </c>
      <c r="AI16" s="223">
        <f t="shared" ref="AI16:AI26" si="9">IF($B$7&gt;5,B16*(1+$H$11)*(1+$N$11)*(1+$T$11)*(1+$Z$11)*(1+$AF$11)*(1+$AL$11),0)</f>
        <v>0</v>
      </c>
      <c r="AJ16" s="96">
        <f>IF(AND('START HERE'!$B$11="Yes",AI16&gt;=($L$3*9)),AG16*($L$3*9),AG16*AI16)</f>
        <v>0</v>
      </c>
      <c r="AK16" s="96">
        <f>ROUND(AJ16*$L$5,0)</f>
        <v>0</v>
      </c>
      <c r="AL16" s="97">
        <f>ROUND(SUM(AJ16:AK16),0)</f>
        <v>0</v>
      </c>
      <c r="AM16" s="68"/>
      <c r="AN16" s="224">
        <f>9*AM16</f>
        <v>0</v>
      </c>
      <c r="AO16" s="223">
        <f t="shared" ref="AO16:AO26" si="10">IF($B$7&gt;6,B16*(1+$H$11)*(1+$N$11)*(1+$T$11)*(1+$Z$11)*(1+$AF$11)*(1+$AL$11)*(1+$AR$11),0)</f>
        <v>0</v>
      </c>
      <c r="AP16" s="96">
        <f>IF(AND('START HERE'!$B$11="Yes",AO16&gt;=($L$3*9)),AM16*($L$3*9),AM16*AO16)</f>
        <v>0</v>
      </c>
      <c r="AQ16" s="96">
        <f>ROUND(AP16*$L$5,0)</f>
        <v>0</v>
      </c>
      <c r="AR16" s="97">
        <f>ROUND(SUM(AP16:AQ16),0)</f>
        <v>0</v>
      </c>
      <c r="AS16" s="74">
        <f>ROUND(SUM(H16,N16,T16,Z16,AF16,AL16,AR16),0)</f>
        <v>0</v>
      </c>
      <c r="AT16" s="122" t="str">
        <f>A16</f>
        <v>Faculty 1 - 9mo Academic</v>
      </c>
      <c r="AU16" s="4"/>
      <c r="AV16" s="4"/>
      <c r="AW16" s="1"/>
      <c r="AX16" s="2"/>
    </row>
    <row r="17" spans="1:50" s="3" customFormat="1" x14ac:dyDescent="0.2">
      <c r="A17" s="58" t="s">
        <v>97</v>
      </c>
      <c r="B17" s="110">
        <f>B16/9*3</f>
        <v>0</v>
      </c>
      <c r="C17" s="69"/>
      <c r="D17" s="224">
        <f>3*C17</f>
        <v>0</v>
      </c>
      <c r="E17" s="223">
        <f>B17*(1+$H$11)</f>
        <v>0</v>
      </c>
      <c r="F17" s="96">
        <f>IF(AND('START HERE'!$B$11="Yes",E17&gt;=($L$3*3)),C17*($L$3*3),C17*E17)</f>
        <v>0</v>
      </c>
      <c r="G17" s="96">
        <f>ROUND(F17*$L$7,0)</f>
        <v>0</v>
      </c>
      <c r="H17" s="97">
        <f t="shared" si="0"/>
        <v>0</v>
      </c>
      <c r="I17" s="69"/>
      <c r="J17" s="224">
        <f>3*I17</f>
        <v>0</v>
      </c>
      <c r="K17" s="223">
        <f t="shared" si="1"/>
        <v>0</v>
      </c>
      <c r="L17" s="96">
        <f>IF(AND('START HERE'!$B$11="Yes",K17&gt;=($L$3*3)),I17*($L$3*3),I17*K17)</f>
        <v>0</v>
      </c>
      <c r="M17" s="96">
        <f>ROUND(L17*$L$7,0)</f>
        <v>0</v>
      </c>
      <c r="N17" s="97">
        <f>ROUND(SUM(L17:M17),0)</f>
        <v>0</v>
      </c>
      <c r="O17" s="69"/>
      <c r="P17" s="224">
        <f>3*O17</f>
        <v>0</v>
      </c>
      <c r="Q17" s="223">
        <f t="shared" si="3"/>
        <v>0</v>
      </c>
      <c r="R17" s="96">
        <f>IF(AND('START HERE'!$B$11="Yes",Q17&gt;=($L$3*3)),O17*($L$3*3),O17*Q17)</f>
        <v>0</v>
      </c>
      <c r="S17" s="96">
        <f>ROUND(R17*$L$7,0)</f>
        <v>0</v>
      </c>
      <c r="T17" s="97">
        <f t="shared" si="4"/>
        <v>0</v>
      </c>
      <c r="U17" s="69"/>
      <c r="V17" s="224">
        <f>3*U17</f>
        <v>0</v>
      </c>
      <c r="W17" s="223">
        <f t="shared" si="5"/>
        <v>0</v>
      </c>
      <c r="X17" s="96">
        <f>IF(AND('START HERE'!$B$11="Yes",W17&gt;=($L$3*3)),U17*($L$3*3),U17*W17)</f>
        <v>0</v>
      </c>
      <c r="Y17" s="96">
        <f>ROUND(X17*$L$7,0)</f>
        <v>0</v>
      </c>
      <c r="Z17" s="97">
        <f t="shared" si="6"/>
        <v>0</v>
      </c>
      <c r="AA17" s="69"/>
      <c r="AB17" s="224">
        <f>3*AA17</f>
        <v>0</v>
      </c>
      <c r="AC17" s="223">
        <f t="shared" si="7"/>
        <v>0</v>
      </c>
      <c r="AD17" s="96">
        <f>IF(AND('START HERE'!$B$11="Yes",AC17&gt;=($L$3*3)),AA17*($L$3*3),AA17*AC17)</f>
        <v>0</v>
      </c>
      <c r="AE17" s="96">
        <f>ROUND(AD17*$L$7,0)</f>
        <v>0</v>
      </c>
      <c r="AF17" s="97">
        <f t="shared" si="8"/>
        <v>0</v>
      </c>
      <c r="AG17" s="69"/>
      <c r="AH17" s="224">
        <f>3*AG17</f>
        <v>0</v>
      </c>
      <c r="AI17" s="223">
        <f t="shared" si="9"/>
        <v>0</v>
      </c>
      <c r="AJ17" s="96">
        <f>IF(AND('START HERE'!$B$11="Yes",AI17&gt;=($L$3*3)),AG17*($L$3*3),AG17*AI17)</f>
        <v>0</v>
      </c>
      <c r="AK17" s="96">
        <f>ROUND(AJ17*$L$7,0)</f>
        <v>0</v>
      </c>
      <c r="AL17" s="97">
        <f t="shared" ref="AL17:AL22" si="11">ROUND(SUM(AJ17:AK17),0)</f>
        <v>0</v>
      </c>
      <c r="AM17" s="69"/>
      <c r="AN17" s="224">
        <f>3*AM17</f>
        <v>0</v>
      </c>
      <c r="AO17" s="223">
        <f t="shared" si="10"/>
        <v>0</v>
      </c>
      <c r="AP17" s="96">
        <f>IF(AND('START HERE'!$B$11="Yes",AO17&gt;=($L$3*3)),AM17*($L$3*3),AM17*AO17)</f>
        <v>0</v>
      </c>
      <c r="AQ17" s="96">
        <f>ROUND(AP17*$L$7,0)</f>
        <v>0</v>
      </c>
      <c r="AR17" s="97">
        <f t="shared" ref="AR17:AR22" si="12">ROUND(SUM(AP17:AQ17),0)</f>
        <v>0</v>
      </c>
      <c r="AS17" s="74">
        <f t="shared" ref="AS17:AS26" si="13">ROUND(SUM(H17,N17,T17,Z17,AF17,AL17,AR17),0)</f>
        <v>0</v>
      </c>
      <c r="AT17" s="122" t="str">
        <f t="shared" ref="AT17:AT26" si="14">A17</f>
        <v>Faculty 1 - 3mo Summer *</v>
      </c>
      <c r="AU17" s="4"/>
      <c r="AV17" s="4"/>
      <c r="AW17" s="1"/>
      <c r="AX17" s="2"/>
    </row>
    <row r="18" spans="1:50" s="3" customFormat="1" x14ac:dyDescent="0.2">
      <c r="A18" s="58" t="s">
        <v>98</v>
      </c>
      <c r="B18" s="70"/>
      <c r="C18" s="69"/>
      <c r="D18" s="224">
        <f>10*C18</f>
        <v>0</v>
      </c>
      <c r="E18" s="223">
        <f>B18*(1+$H$11)</f>
        <v>0</v>
      </c>
      <c r="F18" s="96">
        <f>IF(AND('START HERE'!$B$11="Yes",E18&gt;=($L$3*10)),C18*($L$3*10),C18*E18)</f>
        <v>0</v>
      </c>
      <c r="G18" s="96">
        <f>ROUND(F18*$L$5,0)</f>
        <v>0</v>
      </c>
      <c r="H18" s="97">
        <f t="shared" si="0"/>
        <v>0</v>
      </c>
      <c r="I18" s="69"/>
      <c r="J18" s="224">
        <f>10*I18</f>
        <v>0</v>
      </c>
      <c r="K18" s="223">
        <f t="shared" si="1"/>
        <v>0</v>
      </c>
      <c r="L18" s="96">
        <f>IF(AND('START HERE'!$B$11="Yes",K18&gt;=($L$3*10)),I18*($L$3*10),I18*K18)</f>
        <v>0</v>
      </c>
      <c r="M18" s="96">
        <f>ROUND(L18*$L$5,0)</f>
        <v>0</v>
      </c>
      <c r="N18" s="97">
        <f t="shared" si="2"/>
        <v>0</v>
      </c>
      <c r="O18" s="69"/>
      <c r="P18" s="224">
        <f>10*O18</f>
        <v>0</v>
      </c>
      <c r="Q18" s="223">
        <f t="shared" si="3"/>
        <v>0</v>
      </c>
      <c r="R18" s="96">
        <f>IF(AND('START HERE'!$B$11="Yes",Q18&gt;=($L$3*10)),O18*($L$3*10),O18*Q18)</f>
        <v>0</v>
      </c>
      <c r="S18" s="96">
        <f>ROUND(R18*$L$5,0)</f>
        <v>0</v>
      </c>
      <c r="T18" s="97">
        <f t="shared" si="4"/>
        <v>0</v>
      </c>
      <c r="U18" s="69"/>
      <c r="V18" s="224">
        <f>10*U18</f>
        <v>0</v>
      </c>
      <c r="W18" s="223">
        <f t="shared" si="5"/>
        <v>0</v>
      </c>
      <c r="X18" s="96">
        <f>IF(AND('START HERE'!$B$11="Yes",W18&gt;=($L$3*10)),U18*($L$3*10),U18*W18)</f>
        <v>0</v>
      </c>
      <c r="Y18" s="96">
        <f>ROUND(X18*$L$5,0)</f>
        <v>0</v>
      </c>
      <c r="Z18" s="97">
        <f t="shared" si="6"/>
        <v>0</v>
      </c>
      <c r="AA18" s="69"/>
      <c r="AB18" s="224">
        <f>10*AA18</f>
        <v>0</v>
      </c>
      <c r="AC18" s="223">
        <f t="shared" si="7"/>
        <v>0</v>
      </c>
      <c r="AD18" s="96">
        <f>IF(AND('START HERE'!$B$11="Yes",AC18&gt;=($L$3*10)),AA18*($L$3*10),AA18*AC18)</f>
        <v>0</v>
      </c>
      <c r="AE18" s="96">
        <f>ROUND(AD18*$L$5,0)</f>
        <v>0</v>
      </c>
      <c r="AF18" s="97">
        <f t="shared" si="8"/>
        <v>0</v>
      </c>
      <c r="AG18" s="69"/>
      <c r="AH18" s="224">
        <f>10*AG18</f>
        <v>0</v>
      </c>
      <c r="AI18" s="223">
        <f t="shared" si="9"/>
        <v>0</v>
      </c>
      <c r="AJ18" s="96">
        <f>IF(AND('START HERE'!$B$11="Yes",AI18&gt;=($L$3*10)),AG18*($L$3*10),AG18*AI18)</f>
        <v>0</v>
      </c>
      <c r="AK18" s="96">
        <f>ROUND(AJ18*$L$5,0)</f>
        <v>0</v>
      </c>
      <c r="AL18" s="97">
        <f t="shared" si="11"/>
        <v>0</v>
      </c>
      <c r="AM18" s="69"/>
      <c r="AN18" s="224">
        <f>10*AM18</f>
        <v>0</v>
      </c>
      <c r="AO18" s="223">
        <f t="shared" si="10"/>
        <v>0</v>
      </c>
      <c r="AP18" s="96">
        <f>IF(AND('START HERE'!$B$11="Yes",AO18&gt;=($L$3*10)),AM18*($L$3*10),AM18*AO18)</f>
        <v>0</v>
      </c>
      <c r="AQ18" s="96">
        <f>ROUND(AP18*$L$5,0)</f>
        <v>0</v>
      </c>
      <c r="AR18" s="97">
        <f t="shared" si="12"/>
        <v>0</v>
      </c>
      <c r="AS18" s="74">
        <f t="shared" si="13"/>
        <v>0</v>
      </c>
      <c r="AT18" s="122" t="str">
        <f t="shared" si="14"/>
        <v>Faculty 2 - 10mo Academic</v>
      </c>
      <c r="AU18" s="4"/>
      <c r="AV18" s="4"/>
      <c r="AW18" s="1"/>
      <c r="AX18" s="2"/>
    </row>
    <row r="19" spans="1:50" s="3" customFormat="1" x14ac:dyDescent="0.2">
      <c r="A19" s="58" t="s">
        <v>99</v>
      </c>
      <c r="B19" s="110">
        <f>B18/10*2</f>
        <v>0</v>
      </c>
      <c r="C19" s="69"/>
      <c r="D19" s="224">
        <f>2*C19</f>
        <v>0</v>
      </c>
      <c r="E19" s="223">
        <f t="shared" ref="E19:E20" si="15">B19*(1+$H$11)</f>
        <v>0</v>
      </c>
      <c r="F19" s="96">
        <f>IF(AND('START HERE'!$B$11="Yes",E19&gt;=($L$3*2)),C19*($L$3*2),C19*E19)</f>
        <v>0</v>
      </c>
      <c r="G19" s="96">
        <f>ROUND(F19*$L$7,0)</f>
        <v>0</v>
      </c>
      <c r="H19" s="97">
        <f t="shared" si="0"/>
        <v>0</v>
      </c>
      <c r="I19" s="69"/>
      <c r="J19" s="224">
        <f>2*I19</f>
        <v>0</v>
      </c>
      <c r="K19" s="223">
        <f t="shared" si="1"/>
        <v>0</v>
      </c>
      <c r="L19" s="96">
        <f>IF(AND('START HERE'!$B$11="Yes",K19&gt;=($L$3*2)),I19*($L$3*2),I19*K19)</f>
        <v>0</v>
      </c>
      <c r="M19" s="96">
        <f>ROUND(L19*$L$7,0)</f>
        <v>0</v>
      </c>
      <c r="N19" s="97">
        <f t="shared" si="2"/>
        <v>0</v>
      </c>
      <c r="O19" s="69"/>
      <c r="P19" s="224">
        <f>2*O19</f>
        <v>0</v>
      </c>
      <c r="Q19" s="223">
        <f t="shared" si="3"/>
        <v>0</v>
      </c>
      <c r="R19" s="96">
        <f>IF(AND('START HERE'!$B$11="Yes",Q19&gt;=($L$3*2)),O19*($L$3*2),O19*Q19)</f>
        <v>0</v>
      </c>
      <c r="S19" s="96">
        <f>ROUND(R19*$L$7,0)</f>
        <v>0</v>
      </c>
      <c r="T19" s="97">
        <f t="shared" si="4"/>
        <v>0</v>
      </c>
      <c r="U19" s="69"/>
      <c r="V19" s="224">
        <f>2*U19</f>
        <v>0</v>
      </c>
      <c r="W19" s="223">
        <f t="shared" si="5"/>
        <v>0</v>
      </c>
      <c r="X19" s="96">
        <f>IF(AND('START HERE'!$B$11="Yes",W19&gt;=($L$3*2)),U19*($L$3*2),U19*W19)</f>
        <v>0</v>
      </c>
      <c r="Y19" s="96">
        <f>ROUND(X19*$L$7,0)</f>
        <v>0</v>
      </c>
      <c r="Z19" s="97">
        <f t="shared" si="6"/>
        <v>0</v>
      </c>
      <c r="AA19" s="69"/>
      <c r="AB19" s="224">
        <f>2*AA19</f>
        <v>0</v>
      </c>
      <c r="AC19" s="223">
        <f t="shared" si="7"/>
        <v>0</v>
      </c>
      <c r="AD19" s="96">
        <f>IF(AND('START HERE'!$B$11="Yes",AC19&gt;=($L$3*2)),AA19*($L$3*2),AA19*AC19)</f>
        <v>0</v>
      </c>
      <c r="AE19" s="96">
        <f>ROUND(AD19*$L$7,0)</f>
        <v>0</v>
      </c>
      <c r="AF19" s="97">
        <f t="shared" si="8"/>
        <v>0</v>
      </c>
      <c r="AG19" s="69"/>
      <c r="AH19" s="224">
        <f>2*AG19</f>
        <v>0</v>
      </c>
      <c r="AI19" s="223">
        <f t="shared" si="9"/>
        <v>0</v>
      </c>
      <c r="AJ19" s="96">
        <f>IF(AND('START HERE'!$B$11="Yes",AI19&gt;=($L$3*2)),AG19*($L$3*2),AG19*AI19)</f>
        <v>0</v>
      </c>
      <c r="AK19" s="96">
        <f>ROUND(AJ19*$L$7,0)</f>
        <v>0</v>
      </c>
      <c r="AL19" s="97">
        <f t="shared" si="11"/>
        <v>0</v>
      </c>
      <c r="AM19" s="69"/>
      <c r="AN19" s="224">
        <f>2*AM19</f>
        <v>0</v>
      </c>
      <c r="AO19" s="223">
        <f t="shared" si="10"/>
        <v>0</v>
      </c>
      <c r="AP19" s="96">
        <f>IF(AND('START HERE'!$B$11="Yes",AO19&gt;=($L$3*2)),AM19*($L$3*2),AM19*AO19)</f>
        <v>0</v>
      </c>
      <c r="AQ19" s="96">
        <f>ROUND(AP19*$L$7,0)</f>
        <v>0</v>
      </c>
      <c r="AR19" s="97">
        <f t="shared" si="12"/>
        <v>0</v>
      </c>
      <c r="AS19" s="74">
        <f t="shared" si="13"/>
        <v>0</v>
      </c>
      <c r="AT19" s="122" t="str">
        <f t="shared" si="14"/>
        <v>Faculty 2 - 2mo Summer *</v>
      </c>
      <c r="AU19" s="4"/>
      <c r="AV19" s="4"/>
      <c r="AW19" s="1"/>
      <c r="AX19" s="2"/>
    </row>
    <row r="20" spans="1:50" s="3" customFormat="1" x14ac:dyDescent="0.2">
      <c r="A20" s="58" t="s">
        <v>100</v>
      </c>
      <c r="B20" s="70"/>
      <c r="C20" s="69"/>
      <c r="D20" s="224">
        <f>12*C20</f>
        <v>0</v>
      </c>
      <c r="E20" s="223">
        <f t="shared" si="15"/>
        <v>0</v>
      </c>
      <c r="F20" s="96">
        <f>IF(AND('START HERE'!$B$11="Yes",E20&gt;=$L$2),C20*$L$2,C20*E20)</f>
        <v>0</v>
      </c>
      <c r="G20" s="96">
        <f>ROUND(F20*$L$5,0)</f>
        <v>0</v>
      </c>
      <c r="H20" s="97">
        <f t="shared" si="0"/>
        <v>0</v>
      </c>
      <c r="I20" s="69"/>
      <c r="J20" s="224">
        <f t="shared" ref="J20:J26" si="16">12*I20</f>
        <v>0</v>
      </c>
      <c r="K20" s="223">
        <f t="shared" si="1"/>
        <v>0</v>
      </c>
      <c r="L20" s="96">
        <f>IF(AND('START HERE'!$B$11="Yes",K20&gt;=$L$2),I20*$L$2,I20*K20)</f>
        <v>0</v>
      </c>
      <c r="M20" s="96">
        <f>ROUND(L20*$L$5,0)</f>
        <v>0</v>
      </c>
      <c r="N20" s="97">
        <f t="shared" si="2"/>
        <v>0</v>
      </c>
      <c r="O20" s="69"/>
      <c r="P20" s="224">
        <f t="shared" ref="P20:P26" si="17">12*O20</f>
        <v>0</v>
      </c>
      <c r="Q20" s="223">
        <f t="shared" si="3"/>
        <v>0</v>
      </c>
      <c r="R20" s="96">
        <f>IF(AND('START HERE'!$B$11="Yes",Q20&gt;=$L$2),O20*$L$2,O20*Q20)</f>
        <v>0</v>
      </c>
      <c r="S20" s="96">
        <f>ROUND(R20*$L$5,0)</f>
        <v>0</v>
      </c>
      <c r="T20" s="97">
        <f t="shared" si="4"/>
        <v>0</v>
      </c>
      <c r="U20" s="69"/>
      <c r="V20" s="224">
        <f t="shared" ref="V20:V26" si="18">12*U20</f>
        <v>0</v>
      </c>
      <c r="W20" s="223">
        <f t="shared" si="5"/>
        <v>0</v>
      </c>
      <c r="X20" s="96">
        <f>IF(AND('START HERE'!$B$11="Yes",W20&gt;=$L$2),U20*$L$2,U20*W20)</f>
        <v>0</v>
      </c>
      <c r="Y20" s="96">
        <f>ROUND(X20*$L$5,0)</f>
        <v>0</v>
      </c>
      <c r="Z20" s="97">
        <f t="shared" si="6"/>
        <v>0</v>
      </c>
      <c r="AA20" s="69"/>
      <c r="AB20" s="224">
        <f t="shared" ref="AB20:AB26" si="19">12*AA20</f>
        <v>0</v>
      </c>
      <c r="AC20" s="223">
        <f t="shared" si="7"/>
        <v>0</v>
      </c>
      <c r="AD20" s="96">
        <f>IF(AND('START HERE'!$B$11="Yes",AC20&gt;=$L$2),AA20*$L$2,AA20*AC20)</f>
        <v>0</v>
      </c>
      <c r="AE20" s="96">
        <f>ROUND(AD20*$L$5,0)</f>
        <v>0</v>
      </c>
      <c r="AF20" s="97">
        <f t="shared" si="8"/>
        <v>0</v>
      </c>
      <c r="AG20" s="69"/>
      <c r="AH20" s="224">
        <f t="shared" ref="AH20:AH26" si="20">12*AG20</f>
        <v>0</v>
      </c>
      <c r="AI20" s="223">
        <f t="shared" si="9"/>
        <v>0</v>
      </c>
      <c r="AJ20" s="96">
        <f>IF(AND('START HERE'!$B$11="Yes",AI20&gt;=$L$2),AG20*$L$2,AG20*AI20)</f>
        <v>0</v>
      </c>
      <c r="AK20" s="96">
        <f>ROUND(AJ20*$L$5,0)</f>
        <v>0</v>
      </c>
      <c r="AL20" s="97">
        <f t="shared" si="11"/>
        <v>0</v>
      </c>
      <c r="AM20" s="69"/>
      <c r="AN20" s="224">
        <f t="shared" ref="AN20:AN26" si="21">12*AM20</f>
        <v>0</v>
      </c>
      <c r="AO20" s="223">
        <f t="shared" si="10"/>
        <v>0</v>
      </c>
      <c r="AP20" s="96">
        <f>IF(AND('START HERE'!$B$11="Yes",AO20&gt;=$L$2),AM20*$L$2,AM20*AO20)</f>
        <v>0</v>
      </c>
      <c r="AQ20" s="96">
        <f>ROUND(AP20*$L$5,0)</f>
        <v>0</v>
      </c>
      <c r="AR20" s="97">
        <f t="shared" si="12"/>
        <v>0</v>
      </c>
      <c r="AS20" s="74">
        <f t="shared" si="13"/>
        <v>0</v>
      </c>
      <c r="AT20" s="122" t="str">
        <f t="shared" si="14"/>
        <v>Faculty 3 - 12mo Appt</v>
      </c>
      <c r="AU20" s="4"/>
      <c r="AV20" s="4"/>
      <c r="AW20" s="1"/>
      <c r="AX20" s="2"/>
    </row>
    <row r="21" spans="1:50" s="3" customFormat="1" x14ac:dyDescent="0.2">
      <c r="A21" s="152" t="s">
        <v>101</v>
      </c>
      <c r="B21" s="229">
        <f>16.9*2080*2</f>
        <v>70304</v>
      </c>
      <c r="C21" s="69"/>
      <c r="D21" s="224">
        <f t="shared" ref="D21:D26" si="22">12*C21</f>
        <v>0</v>
      </c>
      <c r="E21" s="223">
        <f>IF($B$7&gt;0,B21*(1+$H$11),0)</f>
        <v>0</v>
      </c>
      <c r="F21" s="96">
        <f>IF(AND('START HERE'!$B$11="Yes",E21&gt;=$L$2),C21*$L$2,C21*E21)</f>
        <v>0</v>
      </c>
      <c r="G21" s="96">
        <f>ROUND(F21*$L$5,0)</f>
        <v>0</v>
      </c>
      <c r="H21" s="97">
        <f t="shared" si="0"/>
        <v>0</v>
      </c>
      <c r="I21" s="69"/>
      <c r="J21" s="224">
        <f t="shared" si="16"/>
        <v>0</v>
      </c>
      <c r="K21" s="223">
        <f>IF($B$7&gt;1,B21*(1+$H$11)*(1+$N$11),0)</f>
        <v>0</v>
      </c>
      <c r="L21" s="96">
        <f>IF(AND('START HERE'!$B$11="Yes",K21&gt;=$L$2),I21*$L$2,I21*K21)</f>
        <v>0</v>
      </c>
      <c r="M21" s="96">
        <f>ROUND(L21*$L$5,0)</f>
        <v>0</v>
      </c>
      <c r="N21" s="97">
        <f t="shared" si="2"/>
        <v>0</v>
      </c>
      <c r="O21" s="69"/>
      <c r="P21" s="224">
        <f t="shared" si="17"/>
        <v>0</v>
      </c>
      <c r="Q21" s="223">
        <f t="shared" si="3"/>
        <v>0</v>
      </c>
      <c r="R21" s="96">
        <f>IF(AND('START HERE'!$B$11="Yes",Q21&gt;=$L$2),O21*$L$2,O21*Q21)</f>
        <v>0</v>
      </c>
      <c r="S21" s="96">
        <f>ROUND(R21*$L$5,0)</f>
        <v>0</v>
      </c>
      <c r="T21" s="97">
        <f t="shared" si="4"/>
        <v>0</v>
      </c>
      <c r="U21" s="69"/>
      <c r="V21" s="224">
        <f t="shared" si="18"/>
        <v>0</v>
      </c>
      <c r="W21" s="223">
        <f t="shared" si="5"/>
        <v>0</v>
      </c>
      <c r="X21" s="96">
        <f>IF(AND('START HERE'!$B$11="Yes",W21&gt;=$L$2),U21*$L$2,U21*W21)</f>
        <v>0</v>
      </c>
      <c r="Y21" s="96">
        <f>ROUND(X21*$L$5,0)</f>
        <v>0</v>
      </c>
      <c r="Z21" s="97">
        <f t="shared" si="6"/>
        <v>0</v>
      </c>
      <c r="AA21" s="69"/>
      <c r="AB21" s="224">
        <f t="shared" si="19"/>
        <v>0</v>
      </c>
      <c r="AC21" s="223">
        <f t="shared" si="7"/>
        <v>0</v>
      </c>
      <c r="AD21" s="96">
        <f>IF(AND('START HERE'!$B$11="Yes",AC21&gt;=$L$2),AA21*$L$2,AA21*AC21)</f>
        <v>0</v>
      </c>
      <c r="AE21" s="96">
        <f>ROUND(AD21*$L$5,0)</f>
        <v>0</v>
      </c>
      <c r="AF21" s="97">
        <f t="shared" si="8"/>
        <v>0</v>
      </c>
      <c r="AG21" s="69"/>
      <c r="AH21" s="224">
        <f t="shared" si="20"/>
        <v>0</v>
      </c>
      <c r="AI21" s="223">
        <f t="shared" si="9"/>
        <v>0</v>
      </c>
      <c r="AJ21" s="96">
        <f>IF(AND('START HERE'!$B$11="Yes",AI21&gt;=$L$2),AG21*$L$2,AG21*AI21)</f>
        <v>0</v>
      </c>
      <c r="AK21" s="96">
        <f>ROUND(AJ21*$L$5,0)</f>
        <v>0</v>
      </c>
      <c r="AL21" s="97">
        <f t="shared" si="11"/>
        <v>0</v>
      </c>
      <c r="AM21" s="69"/>
      <c r="AN21" s="224">
        <f t="shared" si="21"/>
        <v>0</v>
      </c>
      <c r="AO21" s="223">
        <f t="shared" si="10"/>
        <v>0</v>
      </c>
      <c r="AP21" s="96">
        <f>IF(AND('START HERE'!$B$11="Yes",AO21&gt;=$L$2),AM21*$L$2,AM21*AO21)</f>
        <v>0</v>
      </c>
      <c r="AQ21" s="96">
        <f>ROUND(AP21*$L$5,0)</f>
        <v>0</v>
      </c>
      <c r="AR21" s="97">
        <f t="shared" si="12"/>
        <v>0</v>
      </c>
      <c r="AS21" s="74">
        <f t="shared" si="13"/>
        <v>0</v>
      </c>
      <c r="AT21" s="122" t="str">
        <f t="shared" si="14"/>
        <v>Postdocs</v>
      </c>
      <c r="AU21" s="4"/>
      <c r="AV21" s="4"/>
      <c r="AW21" s="1"/>
      <c r="AX21" s="2"/>
    </row>
    <row r="22" spans="1:50" s="3" customFormat="1" x14ac:dyDescent="0.2">
      <c r="A22" s="152" t="s">
        <v>102</v>
      </c>
      <c r="B22" s="229"/>
      <c r="C22" s="69"/>
      <c r="D22" s="224">
        <f t="shared" si="22"/>
        <v>0</v>
      </c>
      <c r="E22" s="223">
        <f t="shared" ref="E22:E26" si="23">IF($B$7&gt;0,B22*(1+$H$11),0)</f>
        <v>0</v>
      </c>
      <c r="F22" s="96">
        <f>IF(AND('START HERE'!$B$11="Yes",E22&gt;=$L$2),C22*$L$2,C22*E22)</f>
        <v>0</v>
      </c>
      <c r="G22" s="96">
        <f>ROUND(F22*$L$5,0)</f>
        <v>0</v>
      </c>
      <c r="H22" s="97">
        <f t="shared" si="0"/>
        <v>0</v>
      </c>
      <c r="I22" s="69"/>
      <c r="J22" s="224">
        <f t="shared" si="16"/>
        <v>0</v>
      </c>
      <c r="K22" s="223">
        <f t="shared" si="1"/>
        <v>0</v>
      </c>
      <c r="L22" s="96">
        <f>IF(AND('START HERE'!$B$11="Yes",K22&gt;=$L$2),I22*$L$2,I22*K22)</f>
        <v>0</v>
      </c>
      <c r="M22" s="96">
        <f>ROUND(L22*$L$5,0)</f>
        <v>0</v>
      </c>
      <c r="N22" s="97">
        <f t="shared" si="2"/>
        <v>0</v>
      </c>
      <c r="O22" s="69"/>
      <c r="P22" s="224">
        <f t="shared" si="17"/>
        <v>0</v>
      </c>
      <c r="Q22" s="223">
        <f t="shared" si="3"/>
        <v>0</v>
      </c>
      <c r="R22" s="96">
        <f>IF(AND('START HERE'!$B$11="Yes",Q22&gt;=$L$2),O22*$L$2,O22*Q22)</f>
        <v>0</v>
      </c>
      <c r="S22" s="96">
        <f>ROUND(R22*$L$5,0)</f>
        <v>0</v>
      </c>
      <c r="T22" s="97">
        <f t="shared" si="4"/>
        <v>0</v>
      </c>
      <c r="U22" s="69"/>
      <c r="V22" s="224">
        <f t="shared" si="18"/>
        <v>0</v>
      </c>
      <c r="W22" s="223">
        <f t="shared" si="5"/>
        <v>0</v>
      </c>
      <c r="X22" s="96">
        <f>IF(AND('START HERE'!$B$11="Yes",W22&gt;=$L$2),U22*$L$2,U22*W22)</f>
        <v>0</v>
      </c>
      <c r="Y22" s="96">
        <f>ROUND(X22*$L$5,0)</f>
        <v>0</v>
      </c>
      <c r="Z22" s="97">
        <f t="shared" si="6"/>
        <v>0</v>
      </c>
      <c r="AA22" s="69"/>
      <c r="AB22" s="224">
        <f t="shared" si="19"/>
        <v>0</v>
      </c>
      <c r="AC22" s="223">
        <f t="shared" si="7"/>
        <v>0</v>
      </c>
      <c r="AD22" s="96">
        <f>IF(AND('START HERE'!$B$11="Yes",AC22&gt;=$L$2),AA22*$L$2,AA22*AC22)</f>
        <v>0</v>
      </c>
      <c r="AE22" s="96">
        <f>ROUND(AD22*$L$5,0)</f>
        <v>0</v>
      </c>
      <c r="AF22" s="97">
        <f t="shared" si="8"/>
        <v>0</v>
      </c>
      <c r="AG22" s="69"/>
      <c r="AH22" s="224">
        <f t="shared" si="20"/>
        <v>0</v>
      </c>
      <c r="AI22" s="223">
        <f t="shared" si="9"/>
        <v>0</v>
      </c>
      <c r="AJ22" s="96">
        <f>IF(AND('START HERE'!$B$11="Yes",AI22&gt;=$L$2),AG22*$L$2,AG22*AI22)</f>
        <v>0</v>
      </c>
      <c r="AK22" s="96">
        <f>ROUND(AJ22*$L$5,0)</f>
        <v>0</v>
      </c>
      <c r="AL22" s="97">
        <f t="shared" si="11"/>
        <v>0</v>
      </c>
      <c r="AM22" s="69"/>
      <c r="AN22" s="224">
        <f t="shared" si="21"/>
        <v>0</v>
      </c>
      <c r="AO22" s="223">
        <f t="shared" si="10"/>
        <v>0</v>
      </c>
      <c r="AP22" s="96">
        <f>IF(AND('START HERE'!$B$11="Yes",AO22&gt;=$L$2),AM22*$L$2,AM22*AO22)</f>
        <v>0</v>
      </c>
      <c r="AQ22" s="96">
        <f>ROUND(AP22*$L$5,0)</f>
        <v>0</v>
      </c>
      <c r="AR22" s="97">
        <f t="shared" si="12"/>
        <v>0</v>
      </c>
      <c r="AS22" s="74">
        <f t="shared" si="13"/>
        <v>0</v>
      </c>
      <c r="AT22" s="122" t="str">
        <f t="shared" si="14"/>
        <v>Full-Time Staff</v>
      </c>
      <c r="AU22" s="4"/>
      <c r="AV22" s="4"/>
      <c r="AW22" s="1"/>
      <c r="AX22" s="2"/>
    </row>
    <row r="23" spans="1:50" s="3" customFormat="1" x14ac:dyDescent="0.2">
      <c r="A23" s="374" t="s">
        <v>224</v>
      </c>
      <c r="B23" s="229"/>
      <c r="C23" s="69"/>
      <c r="D23" s="224">
        <f>12*C23</f>
        <v>0</v>
      </c>
      <c r="E23" s="223">
        <f t="shared" si="23"/>
        <v>0</v>
      </c>
      <c r="F23" s="96">
        <f>IF(AND('START HERE'!$B$11="Yes",E23&gt;=$L$2),C23*$L$2,C23*E23)</f>
        <v>0</v>
      </c>
      <c r="G23" s="96">
        <f>IF(C23&gt;50%,ROUND((F23*$L$6),0),ROUND((F23*$L$7),0))</f>
        <v>0</v>
      </c>
      <c r="H23" s="97">
        <f>ROUND(SUM(F23:G23),0)</f>
        <v>0</v>
      </c>
      <c r="I23" s="69"/>
      <c r="J23" s="224">
        <f t="shared" si="16"/>
        <v>0</v>
      </c>
      <c r="K23" s="223">
        <f t="shared" si="1"/>
        <v>0</v>
      </c>
      <c r="L23" s="96">
        <f>IF(AND('START HERE'!$B$11="Yes",K23&gt;=$L$2),I23*$L$2,I23*K23)</f>
        <v>0</v>
      </c>
      <c r="M23" s="96">
        <f>IF(I23&gt;50%,ROUND((L23*$L$6),0),ROUND((L23*$L$7),0))</f>
        <v>0</v>
      </c>
      <c r="N23" s="97">
        <f>ROUND(SUM(L23:M23),0)</f>
        <v>0</v>
      </c>
      <c r="O23" s="69"/>
      <c r="P23" s="224">
        <f t="shared" si="17"/>
        <v>0</v>
      </c>
      <c r="Q23" s="223">
        <f t="shared" si="3"/>
        <v>0</v>
      </c>
      <c r="R23" s="96">
        <f>IF(AND('START HERE'!$B$11="Yes",Q23&gt;=$L$2),O23*$L$2,O23*Q23)</f>
        <v>0</v>
      </c>
      <c r="S23" s="96">
        <f>IF(O23&gt;50%,ROUND((R23*$L$6),0),ROUND((R23*$L$7),0))</f>
        <v>0</v>
      </c>
      <c r="T23" s="97">
        <f>ROUND(SUM(R23:S23),0)</f>
        <v>0</v>
      </c>
      <c r="U23" s="69"/>
      <c r="V23" s="224">
        <f t="shared" si="18"/>
        <v>0</v>
      </c>
      <c r="W23" s="223">
        <f t="shared" si="5"/>
        <v>0</v>
      </c>
      <c r="X23" s="96">
        <f>IF(AND('START HERE'!$B$11="Yes",W23&gt;=$L$2),U23*$L$2,U23*W23)</f>
        <v>0</v>
      </c>
      <c r="Y23" s="96">
        <f>IF(U23&gt;50%,ROUND((X23*$L$6),0),ROUND((X23*$L$7),0))</f>
        <v>0</v>
      </c>
      <c r="Z23" s="97">
        <f>ROUND(SUM(X23:Y23),0)</f>
        <v>0</v>
      </c>
      <c r="AA23" s="69"/>
      <c r="AB23" s="224">
        <f t="shared" si="19"/>
        <v>0</v>
      </c>
      <c r="AC23" s="223">
        <f t="shared" si="7"/>
        <v>0</v>
      </c>
      <c r="AD23" s="96">
        <f>IF(AND('START HERE'!$B$11="Yes",AC23&gt;=$L$2),AA23*$L$2,AA23*AC23)</f>
        <v>0</v>
      </c>
      <c r="AE23" s="96">
        <f>IF(AA23&gt;50%,ROUND((AD23*$L$6),0),ROUND((AD23*$L$7),0))</f>
        <v>0</v>
      </c>
      <c r="AF23" s="97">
        <f>ROUND(SUM(AD23:AE23),0)</f>
        <v>0</v>
      </c>
      <c r="AG23" s="69"/>
      <c r="AH23" s="224">
        <f t="shared" si="20"/>
        <v>0</v>
      </c>
      <c r="AI23" s="223">
        <f t="shared" si="9"/>
        <v>0</v>
      </c>
      <c r="AJ23" s="96">
        <f>IF(AND('START HERE'!$B$11="Yes",AI23&gt;=$L$2),AG23*$L$2,AG23*AI23)</f>
        <v>0</v>
      </c>
      <c r="AK23" s="96">
        <f>IF(AG23&gt;50%,ROUND((AJ23*$L$6),0),ROUND((AJ23*$L$7),0))</f>
        <v>0</v>
      </c>
      <c r="AL23" s="97">
        <f>ROUND(SUM(AJ23:AK23),0)</f>
        <v>0</v>
      </c>
      <c r="AM23" s="69"/>
      <c r="AN23" s="224">
        <f t="shared" si="21"/>
        <v>0</v>
      </c>
      <c r="AO23" s="223">
        <f t="shared" si="10"/>
        <v>0</v>
      </c>
      <c r="AP23" s="96">
        <f>IF(AND('START HERE'!$B$11="Yes",AO23&gt;=$L$2),AM23*$L$2,AM23*AO23)</f>
        <v>0</v>
      </c>
      <c r="AQ23" s="96">
        <f>IF(AM23&gt;50%,ROUND((AP23*$L$6),0),ROUND((AP23*$L$7),0))</f>
        <v>0</v>
      </c>
      <c r="AR23" s="97">
        <f>ROUND(SUM(AP23:AQ23),0)</f>
        <v>0</v>
      </c>
      <c r="AS23" s="74">
        <f t="shared" si="13"/>
        <v>0</v>
      </c>
      <c r="AT23" s="122" t="str">
        <f t="shared" si="14"/>
        <v>Part-Time/Temp Staff/Faculty - SELECT ONE</v>
      </c>
      <c r="AU23" s="4"/>
      <c r="AV23" s="4"/>
      <c r="AW23" s="1"/>
      <c r="AX23" s="2"/>
    </row>
    <row r="24" spans="1:50" s="3" customFormat="1" x14ac:dyDescent="0.2">
      <c r="A24" s="152" t="s">
        <v>103</v>
      </c>
      <c r="B24" s="214">
        <f>37.81*2080</f>
        <v>78644.800000000003</v>
      </c>
      <c r="C24" s="69"/>
      <c r="D24" s="224">
        <f t="shared" si="22"/>
        <v>0</v>
      </c>
      <c r="E24" s="223">
        <f t="shared" si="23"/>
        <v>0</v>
      </c>
      <c r="F24" s="96">
        <f>IF(AND('START HERE'!$B$11="Yes",E24&gt;=$L$2),C24*$L$2,C24*E24)</f>
        <v>0</v>
      </c>
      <c r="G24" s="96">
        <f>ROUND(F24*$L$8,0)</f>
        <v>0</v>
      </c>
      <c r="H24" s="97">
        <f t="shared" si="0"/>
        <v>0</v>
      </c>
      <c r="I24" s="69"/>
      <c r="J24" s="224">
        <f t="shared" si="16"/>
        <v>0</v>
      </c>
      <c r="K24" s="223">
        <f t="shared" si="1"/>
        <v>0</v>
      </c>
      <c r="L24" s="96">
        <f>IF(AND('START HERE'!$B$11="Yes",K24&gt;=$L$2),I24*$L$2,I24*K24)</f>
        <v>0</v>
      </c>
      <c r="M24" s="96">
        <f>ROUND(L24*$L$8,0)</f>
        <v>0</v>
      </c>
      <c r="N24" s="97">
        <f t="shared" si="2"/>
        <v>0</v>
      </c>
      <c r="O24" s="69"/>
      <c r="P24" s="224">
        <f t="shared" si="17"/>
        <v>0</v>
      </c>
      <c r="Q24" s="223">
        <f t="shared" si="3"/>
        <v>0</v>
      </c>
      <c r="R24" s="96">
        <f>IF(AND('START HERE'!$B$11="Yes",Q24&gt;=$L$2),O24*$L$2,O24*Q24)</f>
        <v>0</v>
      </c>
      <c r="S24" s="96">
        <f>ROUND(R24*$L$8,0)</f>
        <v>0</v>
      </c>
      <c r="T24" s="97">
        <f t="shared" si="4"/>
        <v>0</v>
      </c>
      <c r="U24" s="69"/>
      <c r="V24" s="224">
        <f t="shared" si="18"/>
        <v>0</v>
      </c>
      <c r="W24" s="223">
        <f t="shared" si="5"/>
        <v>0</v>
      </c>
      <c r="X24" s="96">
        <f>IF(AND('START HERE'!$B$11="Yes",W24&gt;=$L$2),U24*$L$2,U24*W24)</f>
        <v>0</v>
      </c>
      <c r="Y24" s="96">
        <f>ROUND(X24*$L$8,0)</f>
        <v>0</v>
      </c>
      <c r="Z24" s="97">
        <f t="shared" si="6"/>
        <v>0</v>
      </c>
      <c r="AA24" s="69"/>
      <c r="AB24" s="224">
        <f t="shared" si="19"/>
        <v>0</v>
      </c>
      <c r="AC24" s="223">
        <f t="shared" si="7"/>
        <v>0</v>
      </c>
      <c r="AD24" s="96">
        <f>IF(AND('START HERE'!$B$11="Yes",AC24&gt;=$L$2),AA24*$L$2,AA24*AC24)</f>
        <v>0</v>
      </c>
      <c r="AE24" s="96">
        <f>ROUND(AD24*$L$8,0)</f>
        <v>0</v>
      </c>
      <c r="AF24" s="97">
        <f t="shared" si="8"/>
        <v>0</v>
      </c>
      <c r="AG24" s="69"/>
      <c r="AH24" s="224">
        <f t="shared" si="20"/>
        <v>0</v>
      </c>
      <c r="AI24" s="223">
        <f t="shared" si="9"/>
        <v>0</v>
      </c>
      <c r="AJ24" s="96">
        <f>IF(AND('START HERE'!$B$11="Yes",AI24&gt;=$L$2),AG24*$L$2,AG24*AI24)</f>
        <v>0</v>
      </c>
      <c r="AK24" s="96">
        <f>ROUND(AJ24*$L$8,0)</f>
        <v>0</v>
      </c>
      <c r="AL24" s="97">
        <f t="shared" ref="AL24:AL26" si="24">ROUND(SUM(AJ24:AK24),0)</f>
        <v>0</v>
      </c>
      <c r="AM24" s="69"/>
      <c r="AN24" s="224">
        <f t="shared" si="21"/>
        <v>0</v>
      </c>
      <c r="AO24" s="223">
        <f t="shared" si="10"/>
        <v>0</v>
      </c>
      <c r="AP24" s="96">
        <f>IF(AND('START HERE'!$B$11="Yes",AO24&gt;=$L$2),AM24*$L$2,AM24*AO24)</f>
        <v>0</v>
      </c>
      <c r="AQ24" s="96">
        <f>ROUND(AP24*$L$8,0)</f>
        <v>0</v>
      </c>
      <c r="AR24" s="97">
        <f t="shared" ref="AR24:AR26" si="25">ROUND(SUM(AP24:AQ24),0)</f>
        <v>0</v>
      </c>
      <c r="AS24" s="74">
        <f t="shared" si="13"/>
        <v>0</v>
      </c>
      <c r="AT24" s="122" t="str">
        <f t="shared" si="14"/>
        <v>Gship: GRA1 (Graduate Research Assistantship 1)</v>
      </c>
      <c r="AU24" s="4"/>
      <c r="AV24" s="4"/>
      <c r="AW24" s="1"/>
      <c r="AX24" s="2"/>
    </row>
    <row r="25" spans="1:50" s="3" customFormat="1" x14ac:dyDescent="0.2">
      <c r="A25" s="152" t="s">
        <v>104</v>
      </c>
      <c r="B25" s="214">
        <f>39.97*2080</f>
        <v>83137.599999999991</v>
      </c>
      <c r="C25" s="69"/>
      <c r="D25" s="224">
        <f t="shared" si="22"/>
        <v>0</v>
      </c>
      <c r="E25" s="223">
        <f t="shared" si="23"/>
        <v>0</v>
      </c>
      <c r="F25" s="96">
        <f>IF(AND('START HERE'!$B$11="Yes",E25&gt;=$L$2),C25*$L$2,C25*E25)</f>
        <v>0</v>
      </c>
      <c r="G25" s="96">
        <f>ROUND(F25*$L$8,0)</f>
        <v>0</v>
      </c>
      <c r="H25" s="97">
        <f t="shared" si="0"/>
        <v>0</v>
      </c>
      <c r="I25" s="69"/>
      <c r="J25" s="224">
        <f t="shared" si="16"/>
        <v>0</v>
      </c>
      <c r="K25" s="223">
        <f t="shared" si="1"/>
        <v>0</v>
      </c>
      <c r="L25" s="96">
        <f>IF(AND('START HERE'!$B$11="Yes",K25&gt;=$L$2),I25*$L$2,I25*K25)</f>
        <v>0</v>
      </c>
      <c r="M25" s="96">
        <f>ROUND(L25*$L$8,0)</f>
        <v>0</v>
      </c>
      <c r="N25" s="97">
        <f t="shared" si="2"/>
        <v>0</v>
      </c>
      <c r="O25" s="69"/>
      <c r="P25" s="224">
        <f t="shared" si="17"/>
        <v>0</v>
      </c>
      <c r="Q25" s="223">
        <f t="shared" si="3"/>
        <v>0</v>
      </c>
      <c r="R25" s="96">
        <f>IF(AND('START HERE'!$B$11="Yes",Q25&gt;=$L$2),O25*$L$2,O25*Q25)</f>
        <v>0</v>
      </c>
      <c r="S25" s="96">
        <f>ROUND(R25*$L$8,0)</f>
        <v>0</v>
      </c>
      <c r="T25" s="97">
        <f t="shared" si="4"/>
        <v>0</v>
      </c>
      <c r="U25" s="69"/>
      <c r="V25" s="224">
        <f t="shared" si="18"/>
        <v>0</v>
      </c>
      <c r="W25" s="223">
        <f t="shared" si="5"/>
        <v>0</v>
      </c>
      <c r="X25" s="96">
        <f>IF(AND('START HERE'!$B$11="Yes",W25&gt;=$L$2),U25*$L$2,U25*W25)</f>
        <v>0</v>
      </c>
      <c r="Y25" s="96">
        <f>ROUND(X25*$L$8,0)</f>
        <v>0</v>
      </c>
      <c r="Z25" s="97">
        <f t="shared" si="6"/>
        <v>0</v>
      </c>
      <c r="AA25" s="69"/>
      <c r="AB25" s="224">
        <f t="shared" si="19"/>
        <v>0</v>
      </c>
      <c r="AC25" s="223">
        <f t="shared" si="7"/>
        <v>0</v>
      </c>
      <c r="AD25" s="96">
        <f>IF(AND('START HERE'!$B$11="Yes",AC25&gt;=$L$2),AA25*$L$2,AA25*AC25)</f>
        <v>0</v>
      </c>
      <c r="AE25" s="96">
        <f>ROUND(AD25*$L$8,0)</f>
        <v>0</v>
      </c>
      <c r="AF25" s="97">
        <f t="shared" si="8"/>
        <v>0</v>
      </c>
      <c r="AG25" s="69"/>
      <c r="AH25" s="224">
        <f t="shared" si="20"/>
        <v>0</v>
      </c>
      <c r="AI25" s="223">
        <f t="shared" si="9"/>
        <v>0</v>
      </c>
      <c r="AJ25" s="96">
        <f>IF(AND('START HERE'!$B$11="Yes",AI25&gt;=$L$2),AG25*$L$2,AG25*AI25)</f>
        <v>0</v>
      </c>
      <c r="AK25" s="96">
        <f>ROUND(AJ25*$L$8,0)</f>
        <v>0</v>
      </c>
      <c r="AL25" s="97">
        <f t="shared" si="24"/>
        <v>0</v>
      </c>
      <c r="AM25" s="69"/>
      <c r="AN25" s="224">
        <f t="shared" si="21"/>
        <v>0</v>
      </c>
      <c r="AO25" s="223">
        <f t="shared" si="10"/>
        <v>0</v>
      </c>
      <c r="AP25" s="96">
        <f>IF(AND('START HERE'!$B$11="Yes",AO25&gt;=$L$2),AM25*$L$2,AM25*AO25)</f>
        <v>0</v>
      </c>
      <c r="AQ25" s="96">
        <f>ROUND(AP25*$L$8,0)</f>
        <v>0</v>
      </c>
      <c r="AR25" s="97">
        <f t="shared" si="25"/>
        <v>0</v>
      </c>
      <c r="AS25" s="74">
        <f t="shared" si="13"/>
        <v>0</v>
      </c>
      <c r="AT25" s="122" t="str">
        <f t="shared" si="14"/>
        <v>Gship: GRA2 (Graduate Research Assistantship 2)</v>
      </c>
      <c r="AU25" s="4"/>
      <c r="AV25" s="4"/>
      <c r="AW25" s="1"/>
      <c r="AX25" s="2"/>
    </row>
    <row r="26" spans="1:50" s="3" customFormat="1" ht="13.5" thickBot="1" x14ac:dyDescent="0.25">
      <c r="A26" s="153" t="s">
        <v>105</v>
      </c>
      <c r="B26" s="60">
        <f>16.9*2080</f>
        <v>35152</v>
      </c>
      <c r="C26" s="71"/>
      <c r="D26" s="225">
        <f t="shared" si="22"/>
        <v>0</v>
      </c>
      <c r="E26" s="223">
        <f t="shared" si="23"/>
        <v>0</v>
      </c>
      <c r="F26" s="98">
        <f>IF(AND('START HERE'!$B$11="Yes",E26&gt;=$L$2),C26*$L$2,C26*E26)</f>
        <v>0</v>
      </c>
      <c r="G26" s="98">
        <f>ROUND(F26*$L$8,0)</f>
        <v>0</v>
      </c>
      <c r="H26" s="99">
        <f t="shared" si="0"/>
        <v>0</v>
      </c>
      <c r="I26" s="71"/>
      <c r="J26" s="225">
        <f t="shared" si="16"/>
        <v>0</v>
      </c>
      <c r="K26" s="223">
        <f t="shared" si="1"/>
        <v>0</v>
      </c>
      <c r="L26" s="98">
        <f>IF(AND('START HERE'!$B$11="Yes",K26&gt;=$L$2),I26*$L$2,I26*K26)</f>
        <v>0</v>
      </c>
      <c r="M26" s="98">
        <f>ROUND(L26*$L$8,0)</f>
        <v>0</v>
      </c>
      <c r="N26" s="99">
        <f t="shared" si="2"/>
        <v>0</v>
      </c>
      <c r="O26" s="71"/>
      <c r="P26" s="225">
        <f t="shared" si="17"/>
        <v>0</v>
      </c>
      <c r="Q26" s="223">
        <f t="shared" si="3"/>
        <v>0</v>
      </c>
      <c r="R26" s="98">
        <f>IF(AND('START HERE'!$B$11="Yes",Q26&gt;=$L$2),O26*$L$2,O26*Q26)</f>
        <v>0</v>
      </c>
      <c r="S26" s="98">
        <f>ROUND(R26*$L$8,0)</f>
        <v>0</v>
      </c>
      <c r="T26" s="99">
        <f t="shared" si="4"/>
        <v>0</v>
      </c>
      <c r="U26" s="71"/>
      <c r="V26" s="225">
        <f t="shared" si="18"/>
        <v>0</v>
      </c>
      <c r="W26" s="223">
        <f t="shared" si="5"/>
        <v>0</v>
      </c>
      <c r="X26" s="98">
        <f>IF(AND('START HERE'!$B$11="Yes",W26&gt;=$L$2),U26*$L$2,U26*W26)</f>
        <v>0</v>
      </c>
      <c r="Y26" s="98">
        <f>ROUND(X26*$L$8,0)</f>
        <v>0</v>
      </c>
      <c r="Z26" s="99">
        <f t="shared" si="6"/>
        <v>0</v>
      </c>
      <c r="AA26" s="71"/>
      <c r="AB26" s="225">
        <f t="shared" si="19"/>
        <v>0</v>
      </c>
      <c r="AC26" s="223">
        <f t="shared" si="7"/>
        <v>0</v>
      </c>
      <c r="AD26" s="98">
        <f>IF(AND('START HERE'!$B$11="Yes",AC26&gt;=$L$2),AA26*$L$2,AA26*AC26)</f>
        <v>0</v>
      </c>
      <c r="AE26" s="98">
        <f>ROUND(AD26*$L$8,0)</f>
        <v>0</v>
      </c>
      <c r="AF26" s="97">
        <f t="shared" si="8"/>
        <v>0</v>
      </c>
      <c r="AG26" s="71"/>
      <c r="AH26" s="225">
        <f t="shared" si="20"/>
        <v>0</v>
      </c>
      <c r="AI26" s="223">
        <f t="shared" si="9"/>
        <v>0</v>
      </c>
      <c r="AJ26" s="98">
        <f>IF(AND('START HERE'!$B$11="Yes",AI26&gt;=$L$2),AG26*$L$2,AG26*AI26)</f>
        <v>0</v>
      </c>
      <c r="AK26" s="98">
        <f>ROUND(AJ26*$L$8,0)</f>
        <v>0</v>
      </c>
      <c r="AL26" s="97">
        <f t="shared" si="24"/>
        <v>0</v>
      </c>
      <c r="AM26" s="71"/>
      <c r="AN26" s="225">
        <f t="shared" si="21"/>
        <v>0</v>
      </c>
      <c r="AO26" s="223">
        <f t="shared" si="10"/>
        <v>0</v>
      </c>
      <c r="AP26" s="98">
        <f>IF(AND('START HERE'!$B$11="Yes",AO26&gt;=$L$2),AM26*$L$2,AM26*AO26)</f>
        <v>0</v>
      </c>
      <c r="AQ26" s="98">
        <f>ROUND(AP26*$L$8,0)</f>
        <v>0</v>
      </c>
      <c r="AR26" s="97">
        <f t="shared" si="25"/>
        <v>0</v>
      </c>
      <c r="AS26" s="74">
        <f t="shared" si="13"/>
        <v>0</v>
      </c>
      <c r="AT26" s="122" t="str">
        <f t="shared" si="14"/>
        <v>Student Worker (usually UG)</v>
      </c>
      <c r="AU26" s="4"/>
      <c r="AV26" s="4"/>
      <c r="AW26" s="1"/>
      <c r="AX26" s="2"/>
    </row>
    <row r="27" spans="1:50" s="3" customFormat="1" ht="13.5" thickBot="1" x14ac:dyDescent="0.25">
      <c r="A27" s="154" t="s">
        <v>106</v>
      </c>
      <c r="B27" s="155"/>
      <c r="C27" s="209"/>
      <c r="D27" s="227"/>
      <c r="E27" s="208"/>
      <c r="F27" s="98">
        <f>SUM(F16:F26)</f>
        <v>0</v>
      </c>
      <c r="G27" s="98">
        <f>SUM(G16:G26)</f>
        <v>0</v>
      </c>
      <c r="H27" s="100">
        <f>SUM(H16:H26)</f>
        <v>0</v>
      </c>
      <c r="I27" s="210"/>
      <c r="J27" s="226"/>
      <c r="K27" s="211"/>
      <c r="L27" s="98">
        <f>SUM(L16:L26)</f>
        <v>0</v>
      </c>
      <c r="M27" s="98">
        <f>SUM(M16:M26)</f>
        <v>0</v>
      </c>
      <c r="N27" s="100">
        <f>SUM(N16:N26)</f>
        <v>0</v>
      </c>
      <c r="O27" s="210"/>
      <c r="P27" s="226"/>
      <c r="Q27" s="211"/>
      <c r="R27" s="98">
        <f>SUM(R16:R26)</f>
        <v>0</v>
      </c>
      <c r="S27" s="98">
        <f>SUM(S16:S26)</f>
        <v>0</v>
      </c>
      <c r="T27" s="100">
        <f>SUM(T16:T26)</f>
        <v>0</v>
      </c>
      <c r="U27" s="210"/>
      <c r="V27" s="226"/>
      <c r="W27" s="211"/>
      <c r="X27" s="98">
        <f>SUM(X16:X26)</f>
        <v>0</v>
      </c>
      <c r="Y27" s="98">
        <f>SUM(Y16:Y26)</f>
        <v>0</v>
      </c>
      <c r="Z27" s="100">
        <f>SUM(Z16:Z26)</f>
        <v>0</v>
      </c>
      <c r="AA27" s="210"/>
      <c r="AB27" s="226"/>
      <c r="AC27" s="211"/>
      <c r="AD27" s="98">
        <f>SUM(AD16:AD26)</f>
        <v>0</v>
      </c>
      <c r="AE27" s="98">
        <f>SUM(AE16:AE26)</f>
        <v>0</v>
      </c>
      <c r="AF27" s="109">
        <f>SUM(AF16:AF26)</f>
        <v>0</v>
      </c>
      <c r="AG27" s="210"/>
      <c r="AH27" s="226"/>
      <c r="AI27" s="211"/>
      <c r="AJ27" s="98">
        <f>SUM(AJ16:AJ26)</f>
        <v>0</v>
      </c>
      <c r="AK27" s="98">
        <f>SUM(AK16:AK26)</f>
        <v>0</v>
      </c>
      <c r="AL27" s="109">
        <f>SUM(AL16:AL26)</f>
        <v>0</v>
      </c>
      <c r="AM27" s="210"/>
      <c r="AN27" s="226"/>
      <c r="AO27" s="211"/>
      <c r="AP27" s="98">
        <f>SUM(AP16:AP26)</f>
        <v>0</v>
      </c>
      <c r="AQ27" s="98">
        <f>SUM(AQ16:AQ26)</f>
        <v>0</v>
      </c>
      <c r="AR27" s="109">
        <f>SUM(AR16:AR26)</f>
        <v>0</v>
      </c>
      <c r="AS27" s="75">
        <f>SUM(AS16:AS26)</f>
        <v>0</v>
      </c>
      <c r="AT27" s="123" t="s">
        <v>106</v>
      </c>
    </row>
    <row r="28" spans="1:50" s="3" customFormat="1" ht="13.5" thickBot="1" x14ac:dyDescent="0.25">
      <c r="A28" s="154"/>
      <c r="B28" s="155"/>
      <c r="C28" s="156"/>
      <c r="D28" s="155"/>
      <c r="E28" s="155"/>
      <c r="F28" s="155"/>
      <c r="G28" s="155"/>
      <c r="H28" s="157"/>
      <c r="I28" s="157"/>
      <c r="J28" s="157"/>
      <c r="K28" s="157"/>
      <c r="L28" s="155"/>
      <c r="M28" s="155"/>
      <c r="N28" s="157"/>
      <c r="O28" s="157"/>
      <c r="P28" s="157"/>
      <c r="Q28" s="157"/>
      <c r="R28" s="155"/>
      <c r="S28" s="155"/>
      <c r="T28" s="157"/>
      <c r="U28" s="157"/>
      <c r="V28" s="157"/>
      <c r="W28" s="157"/>
      <c r="X28" s="155"/>
      <c r="Y28" s="155"/>
      <c r="Z28" s="157"/>
      <c r="AA28" s="157"/>
      <c r="AB28" s="157"/>
      <c r="AC28" s="157"/>
      <c r="AD28" s="155"/>
      <c r="AE28" s="155"/>
      <c r="AF28" s="157"/>
      <c r="AG28" s="157"/>
      <c r="AH28" s="157"/>
      <c r="AI28" s="157"/>
      <c r="AJ28" s="155"/>
      <c r="AK28" s="155"/>
      <c r="AL28" s="157"/>
      <c r="AM28" s="157"/>
      <c r="AN28" s="157"/>
      <c r="AO28" s="157"/>
      <c r="AP28" s="155"/>
      <c r="AQ28" s="155"/>
      <c r="AR28" s="157"/>
      <c r="AS28" s="76">
        <f>SUM(AD27,X27,R27,L27,F27,AJ27,AP27)</f>
        <v>0</v>
      </c>
      <c r="AT28" s="123" t="s">
        <v>107</v>
      </c>
    </row>
    <row r="29" spans="1:50" s="3" customFormat="1" ht="13.5" thickBot="1" x14ac:dyDescent="0.25">
      <c r="A29" s="158"/>
      <c r="B29" s="159"/>
      <c r="C29" s="160"/>
      <c r="D29" s="159"/>
      <c r="E29" s="159"/>
      <c r="F29" s="159"/>
      <c r="G29" s="159"/>
      <c r="H29" s="161" t="s">
        <v>72</v>
      </c>
      <c r="I29" s="161"/>
      <c r="J29" s="161"/>
      <c r="K29" s="161"/>
      <c r="L29" s="162"/>
      <c r="M29" s="162"/>
      <c r="N29" s="161" t="s">
        <v>73</v>
      </c>
      <c r="O29" s="161"/>
      <c r="P29" s="161"/>
      <c r="Q29" s="161"/>
      <c r="R29" s="162"/>
      <c r="S29" s="162"/>
      <c r="T29" s="161" t="s">
        <v>74</v>
      </c>
      <c r="U29" s="161"/>
      <c r="V29" s="161"/>
      <c r="W29" s="161"/>
      <c r="X29" s="162"/>
      <c r="Y29" s="162"/>
      <c r="Z29" s="161" t="s">
        <v>75</v>
      </c>
      <c r="AA29" s="161"/>
      <c r="AB29" s="161"/>
      <c r="AC29" s="161"/>
      <c r="AD29" s="162"/>
      <c r="AE29" s="162"/>
      <c r="AF29" s="161" t="s">
        <v>76</v>
      </c>
      <c r="AG29" s="161"/>
      <c r="AH29" s="161"/>
      <c r="AI29" s="161"/>
      <c r="AJ29" s="162"/>
      <c r="AK29" s="162"/>
      <c r="AL29" s="161" t="s">
        <v>77</v>
      </c>
      <c r="AM29" s="161"/>
      <c r="AN29" s="161"/>
      <c r="AO29" s="161"/>
      <c r="AP29" s="162"/>
      <c r="AQ29" s="162"/>
      <c r="AR29" s="161" t="s">
        <v>78</v>
      </c>
      <c r="AS29" s="77">
        <f>AE27+Y27+S27+M27+G27+AK27+AQ27</f>
        <v>0</v>
      </c>
      <c r="AT29" s="124" t="s">
        <v>108</v>
      </c>
    </row>
    <row r="30" spans="1:50" s="3" customFormat="1" ht="17.25" customHeight="1" thickBot="1" x14ac:dyDescent="0.25">
      <c r="A30" s="163" t="s">
        <v>109</v>
      </c>
      <c r="B30" s="164"/>
      <c r="C30" s="165"/>
      <c r="D30" s="166"/>
      <c r="E30" s="166"/>
      <c r="F30" s="166"/>
      <c r="G30" s="167"/>
      <c r="H30" s="72"/>
      <c r="I30" s="168"/>
      <c r="J30" s="166"/>
      <c r="K30" s="166"/>
      <c r="L30" s="166"/>
      <c r="M30" s="167"/>
      <c r="N30" s="72">
        <v>0</v>
      </c>
      <c r="O30" s="168"/>
      <c r="P30" s="166"/>
      <c r="Q30" s="166"/>
      <c r="R30" s="166"/>
      <c r="S30" s="167"/>
      <c r="T30" s="72">
        <v>0</v>
      </c>
      <c r="U30" s="168"/>
      <c r="V30" s="166"/>
      <c r="W30" s="166"/>
      <c r="X30" s="166"/>
      <c r="Y30" s="167"/>
      <c r="Z30" s="72">
        <v>0</v>
      </c>
      <c r="AA30" s="168"/>
      <c r="AB30" s="166"/>
      <c r="AC30" s="166"/>
      <c r="AD30" s="166"/>
      <c r="AE30" s="167"/>
      <c r="AF30" s="72">
        <v>0</v>
      </c>
      <c r="AG30" s="168"/>
      <c r="AH30" s="166"/>
      <c r="AI30" s="166"/>
      <c r="AJ30" s="166"/>
      <c r="AK30" s="167"/>
      <c r="AL30" s="72">
        <v>0</v>
      </c>
      <c r="AM30" s="168"/>
      <c r="AN30" s="166"/>
      <c r="AO30" s="166"/>
      <c r="AP30" s="166"/>
      <c r="AQ30" s="167"/>
      <c r="AR30" s="72">
        <v>0</v>
      </c>
      <c r="AS30" s="93">
        <f>AF30+Z30+T30+N30+H30+AL30+AR30</f>
        <v>0</v>
      </c>
      <c r="AT30" s="125" t="s">
        <v>110</v>
      </c>
    </row>
    <row r="31" spans="1:50" x14ac:dyDescent="0.2">
      <c r="A31" s="169" t="s">
        <v>111</v>
      </c>
      <c r="B31" s="155"/>
      <c r="C31" s="170"/>
      <c r="D31" s="170"/>
      <c r="E31" s="170"/>
      <c r="F31" s="170"/>
      <c r="G31" s="171"/>
      <c r="H31" s="61">
        <v>0</v>
      </c>
      <c r="I31" s="172"/>
      <c r="J31" s="173"/>
      <c r="K31" s="173"/>
      <c r="L31" s="173"/>
      <c r="M31" s="174"/>
      <c r="N31" s="61">
        <v>0</v>
      </c>
      <c r="O31" s="172"/>
      <c r="P31" s="173"/>
      <c r="Q31" s="173"/>
      <c r="R31" s="173"/>
      <c r="S31" s="174"/>
      <c r="T31" s="61">
        <v>0</v>
      </c>
      <c r="U31" s="172"/>
      <c r="V31" s="173"/>
      <c r="W31" s="173"/>
      <c r="X31" s="173"/>
      <c r="Y31" s="174"/>
      <c r="Z31" s="61">
        <v>0</v>
      </c>
      <c r="AA31" s="172"/>
      <c r="AB31" s="173"/>
      <c r="AC31" s="173"/>
      <c r="AD31" s="173"/>
      <c r="AE31" s="174"/>
      <c r="AF31" s="61">
        <v>0</v>
      </c>
      <c r="AG31" s="172"/>
      <c r="AH31" s="173"/>
      <c r="AI31" s="173"/>
      <c r="AJ31" s="173"/>
      <c r="AK31" s="174"/>
      <c r="AL31" s="61">
        <v>0</v>
      </c>
      <c r="AM31" s="172"/>
      <c r="AN31" s="173"/>
      <c r="AO31" s="173"/>
      <c r="AP31" s="173"/>
      <c r="AQ31" s="174"/>
      <c r="AR31" s="61">
        <v>0</v>
      </c>
      <c r="AS31" s="237">
        <f>SUM(AF31,Z31,T31,N31,H31,AL31,AR31)</f>
        <v>0</v>
      </c>
      <c r="AT31" s="116" t="str">
        <f>A31</f>
        <v xml:space="preserve">  Domestic Travel</v>
      </c>
      <c r="AU31" s="3"/>
      <c r="AV31" s="3"/>
      <c r="AW31" s="3"/>
      <c r="AX31" s="3"/>
    </row>
    <row r="32" spans="1:50" ht="13.5" thickBot="1" x14ac:dyDescent="0.25">
      <c r="A32" s="169" t="s">
        <v>112</v>
      </c>
      <c r="B32" s="155"/>
      <c r="C32" s="170"/>
      <c r="D32" s="170"/>
      <c r="E32" s="170"/>
      <c r="F32" s="170"/>
      <c r="G32" s="175"/>
      <c r="H32" s="65">
        <v>0</v>
      </c>
      <c r="I32" s="172"/>
      <c r="J32" s="173"/>
      <c r="K32" s="173"/>
      <c r="L32" s="173"/>
      <c r="M32" s="174"/>
      <c r="N32" s="65">
        <v>0</v>
      </c>
      <c r="O32" s="172"/>
      <c r="P32" s="173"/>
      <c r="Q32" s="173"/>
      <c r="R32" s="173"/>
      <c r="S32" s="174"/>
      <c r="T32" s="65">
        <v>0</v>
      </c>
      <c r="U32" s="172"/>
      <c r="V32" s="173"/>
      <c r="W32" s="173"/>
      <c r="X32" s="173"/>
      <c r="Y32" s="174"/>
      <c r="Z32" s="65">
        <v>0</v>
      </c>
      <c r="AA32" s="172"/>
      <c r="AB32" s="173"/>
      <c r="AC32" s="173"/>
      <c r="AD32" s="173"/>
      <c r="AE32" s="174"/>
      <c r="AF32" s="65">
        <v>0</v>
      </c>
      <c r="AG32" s="172"/>
      <c r="AH32" s="173"/>
      <c r="AI32" s="173"/>
      <c r="AJ32" s="173"/>
      <c r="AK32" s="174"/>
      <c r="AL32" s="65">
        <v>0</v>
      </c>
      <c r="AM32" s="172"/>
      <c r="AN32" s="173"/>
      <c r="AO32" s="173"/>
      <c r="AP32" s="173"/>
      <c r="AQ32" s="174"/>
      <c r="AR32" s="65">
        <v>0</v>
      </c>
      <c r="AS32" s="234">
        <f>SUM(AF32,Z32,T32,N32,H32,AL32,AR32)</f>
        <v>0</v>
      </c>
      <c r="AT32" s="116" t="str">
        <f>A32</f>
        <v xml:space="preserve">  Foreign Travel</v>
      </c>
      <c r="AU32" s="3"/>
      <c r="AV32" s="3"/>
      <c r="AW32" s="3"/>
      <c r="AX32" s="3"/>
    </row>
    <row r="33" spans="1:56" ht="13.5" thickBot="1" x14ac:dyDescent="0.25">
      <c r="A33" s="176" t="s">
        <v>113</v>
      </c>
      <c r="B33" s="159"/>
      <c r="C33" s="177"/>
      <c r="D33" s="159"/>
      <c r="E33" s="159"/>
      <c r="F33" s="159"/>
      <c r="G33" s="159"/>
      <c r="H33" s="101">
        <f>H31+H32</f>
        <v>0</v>
      </c>
      <c r="I33" s="178"/>
      <c r="J33" s="178"/>
      <c r="K33" s="178"/>
      <c r="L33" s="159"/>
      <c r="M33" s="159"/>
      <c r="N33" s="101">
        <f>N31+N32</f>
        <v>0</v>
      </c>
      <c r="O33" s="178"/>
      <c r="P33" s="178"/>
      <c r="Q33" s="178"/>
      <c r="R33" s="159"/>
      <c r="S33" s="159"/>
      <c r="T33" s="101">
        <f>T31+T32</f>
        <v>0</v>
      </c>
      <c r="U33" s="178"/>
      <c r="V33" s="178"/>
      <c r="W33" s="178"/>
      <c r="X33" s="159"/>
      <c r="Y33" s="159"/>
      <c r="Z33" s="101">
        <f>Z31+Z32</f>
        <v>0</v>
      </c>
      <c r="AA33" s="178"/>
      <c r="AB33" s="178"/>
      <c r="AC33" s="178"/>
      <c r="AD33" s="159"/>
      <c r="AE33" s="159"/>
      <c r="AF33" s="101">
        <f>AF31+AF32</f>
        <v>0</v>
      </c>
      <c r="AG33" s="178"/>
      <c r="AH33" s="178"/>
      <c r="AI33" s="178"/>
      <c r="AJ33" s="159"/>
      <c r="AK33" s="159"/>
      <c r="AL33" s="101">
        <f>AL31+AL32</f>
        <v>0</v>
      </c>
      <c r="AM33" s="178"/>
      <c r="AN33" s="178"/>
      <c r="AO33" s="178"/>
      <c r="AP33" s="159"/>
      <c r="AQ33" s="159"/>
      <c r="AR33" s="101">
        <f>AR31+AR32</f>
        <v>0</v>
      </c>
      <c r="AS33" s="79">
        <f>SUM(AS31:AS32)</f>
        <v>0</v>
      </c>
      <c r="AT33" s="126" t="s">
        <v>114</v>
      </c>
    </row>
    <row r="34" spans="1:56" outlineLevel="1" x14ac:dyDescent="0.2">
      <c r="A34" s="179" t="s">
        <v>115</v>
      </c>
      <c r="B34" s="94" t="s">
        <v>116</v>
      </c>
      <c r="C34" s="424" t="s">
        <v>117</v>
      </c>
      <c r="D34" s="425"/>
      <c r="E34" s="425"/>
      <c r="F34" s="425"/>
      <c r="G34" s="62"/>
      <c r="H34" s="157"/>
      <c r="I34" s="424" t="s">
        <v>118</v>
      </c>
      <c r="J34" s="425"/>
      <c r="K34" s="425"/>
      <c r="L34" s="425"/>
      <c r="M34" s="62"/>
      <c r="N34" s="157"/>
      <c r="O34" s="424" t="s">
        <v>119</v>
      </c>
      <c r="P34" s="425"/>
      <c r="Q34" s="425"/>
      <c r="R34" s="425"/>
      <c r="S34" s="62"/>
      <c r="T34" s="157"/>
      <c r="U34" s="424" t="s">
        <v>120</v>
      </c>
      <c r="V34" s="425"/>
      <c r="W34" s="425"/>
      <c r="X34" s="425"/>
      <c r="Y34" s="62"/>
      <c r="Z34" s="157"/>
      <c r="AA34" s="424" t="s">
        <v>121</v>
      </c>
      <c r="AB34" s="425"/>
      <c r="AC34" s="425"/>
      <c r="AD34" s="425"/>
      <c r="AE34" s="62"/>
      <c r="AF34" s="157"/>
      <c r="AG34" s="424" t="s">
        <v>122</v>
      </c>
      <c r="AH34" s="425"/>
      <c r="AI34" s="425"/>
      <c r="AJ34" s="425"/>
      <c r="AK34" s="62"/>
      <c r="AL34" s="157"/>
      <c r="AM34" s="424" t="s">
        <v>123</v>
      </c>
      <c r="AN34" s="425"/>
      <c r="AO34" s="425"/>
      <c r="AP34" s="425"/>
      <c r="AQ34" s="62"/>
      <c r="AR34" s="157"/>
      <c r="AS34" s="180"/>
      <c r="AT34" s="127" t="s">
        <v>124</v>
      </c>
    </row>
    <row r="35" spans="1:56" outlineLevel="1" x14ac:dyDescent="0.2">
      <c r="A35" s="152" t="s">
        <v>226</v>
      </c>
      <c r="B35" s="57"/>
      <c r="C35" s="134" t="s">
        <v>225</v>
      </c>
      <c r="D35" s="134"/>
      <c r="E35" s="134"/>
      <c r="F35" s="134"/>
      <c r="G35" s="155"/>
      <c r="H35" s="102">
        <f>B35*$G$34*(1+$H$11)</f>
        <v>0</v>
      </c>
      <c r="I35" s="181"/>
      <c r="J35" s="181"/>
      <c r="K35" s="181"/>
      <c r="L35" s="155"/>
      <c r="M35" s="155"/>
      <c r="N35" s="103">
        <f>IF($B$7&gt;1,$B35*$M$34*(1+$H$11)*(1+$N$11),0)</f>
        <v>0</v>
      </c>
      <c r="O35" s="182"/>
      <c r="P35" s="182"/>
      <c r="Q35" s="182"/>
      <c r="R35" s="155"/>
      <c r="S35" s="155"/>
      <c r="T35" s="103">
        <f>IF($B$7&gt;2,$B35*$S$34*(1+$H$11)*(1+$N$11)*(1+$T$11),0)</f>
        <v>0</v>
      </c>
      <c r="U35" s="182"/>
      <c r="V35" s="182"/>
      <c r="W35" s="182"/>
      <c r="X35" s="155"/>
      <c r="Y35" s="155"/>
      <c r="Z35" s="103">
        <f>IF($B$7&gt;3,$B35*$Y$34*(1+$H$11)*(1+$N$11)*(1+$T$11)*(1+$Z$11),0)</f>
        <v>0</v>
      </c>
      <c r="AA35" s="182"/>
      <c r="AB35" s="182"/>
      <c r="AC35" s="182"/>
      <c r="AD35" s="155"/>
      <c r="AE35" s="155"/>
      <c r="AF35" s="103">
        <f>IF($B$7&gt;4,$B35*$AE$34*(1+$H$11)*(1+$N$11)*(1+$T$11)*(1+$Z$11)*(1+$AF$11),0)</f>
        <v>0</v>
      </c>
      <c r="AG35" s="182"/>
      <c r="AH35" s="182"/>
      <c r="AI35" s="182"/>
      <c r="AJ35" s="155"/>
      <c r="AK35" s="155"/>
      <c r="AL35" s="103">
        <f>IF($B$7&gt;5,$B35*$AE$34*(1+$H$11)*(1+$N$11)*(1+$T$11)*(1+$Z$11)*(1+$AF$11)*(1+$AL$11),0)</f>
        <v>0</v>
      </c>
      <c r="AM35" s="182"/>
      <c r="AN35" s="182"/>
      <c r="AO35" s="182"/>
      <c r="AP35" s="155"/>
      <c r="AQ35" s="155"/>
      <c r="AR35" s="103">
        <f>IF($B$7&gt;6,$B35*$AE$34*(1+$H$11)*(1+$N$11)*(1+$T$11)*(1+$Z$11)*(1+$AF$11)*(1+$AL$11)*(1+$AR$11),0)</f>
        <v>0</v>
      </c>
      <c r="AS35" s="80">
        <f>SUM(H35,N35,T35,Z35,AF35,AL35,AR35)</f>
        <v>0</v>
      </c>
      <c r="AT35" s="122" t="str">
        <f t="shared" ref="AT35:AT39" si="26">A35</f>
        <v xml:space="preserve">  Stipends</v>
      </c>
    </row>
    <row r="36" spans="1:56" outlineLevel="1" x14ac:dyDescent="0.2">
      <c r="A36" s="152" t="s">
        <v>227</v>
      </c>
      <c r="B36" s="59"/>
      <c r="C36" s="134" t="s">
        <v>225</v>
      </c>
      <c r="D36" s="155"/>
      <c r="E36" s="155"/>
      <c r="F36" s="155"/>
      <c r="G36" s="155"/>
      <c r="H36" s="102">
        <f>B36*$G$34*(1+$H$11)</f>
        <v>0</v>
      </c>
      <c r="I36" s="181"/>
      <c r="J36" s="181"/>
      <c r="K36" s="181"/>
      <c r="L36" s="155"/>
      <c r="M36" s="155"/>
      <c r="N36" s="103">
        <f>IF($B$7&gt;1,$B36*$M$34*(1+$H$11)*(1+$N$11),0)</f>
        <v>0</v>
      </c>
      <c r="O36" s="182"/>
      <c r="P36" s="182"/>
      <c r="Q36" s="182"/>
      <c r="R36" s="155"/>
      <c r="S36" s="155"/>
      <c r="T36" s="103">
        <f>IF($B$7&gt;2,$B36*$S$34*(1+$H$11)*(1+$N$11)*(1+$T$11),0)</f>
        <v>0</v>
      </c>
      <c r="U36" s="182"/>
      <c r="V36" s="182"/>
      <c r="W36" s="182"/>
      <c r="X36" s="155"/>
      <c r="Y36" s="155"/>
      <c r="Z36" s="103">
        <f>IF($B$7&gt;3,$B36*$Y$34*(1+$H$11)*(1+$N$11)*(1+$T$11)*(1+$Z$11),0)</f>
        <v>0</v>
      </c>
      <c r="AA36" s="182"/>
      <c r="AB36" s="182"/>
      <c r="AC36" s="182"/>
      <c r="AD36" s="155"/>
      <c r="AE36" s="155"/>
      <c r="AF36" s="103">
        <f>IF($B$7&gt;4,$B36*$AE$34*(1+$H$11)*(1+$N$11)*(1+$T$11)*(1+$Z$11)*(1+$AF$11),0)</f>
        <v>0</v>
      </c>
      <c r="AG36" s="182"/>
      <c r="AH36" s="182"/>
      <c r="AI36" s="182"/>
      <c r="AJ36" s="155"/>
      <c r="AK36" s="155"/>
      <c r="AL36" s="103">
        <f>IF($B$7&gt;5,$B36*$AE$34*(1+$H$11)*(1+$N$11)*(1+$T$11)*(1+$Z$11)*(1+$AF$11)*(1+$AL$11),0)</f>
        <v>0</v>
      </c>
      <c r="AM36" s="182"/>
      <c r="AN36" s="182"/>
      <c r="AO36" s="182"/>
      <c r="AP36" s="155"/>
      <c r="AQ36" s="155"/>
      <c r="AR36" s="103">
        <f>IF($B$7&gt;6,$B36*$AE$34*(1+$H$11)*(1+$N$11)*(1+$T$11)*(1+$Z$11)*(1+$AF$11)*(1+$AL$11)*(1+$AR$11),0)</f>
        <v>0</v>
      </c>
      <c r="AS36" s="235">
        <f t="shared" ref="AS36:AS39" si="27">SUM(H36,N36,T36,Z36,AF36,AL36,AR36)</f>
        <v>0</v>
      </c>
      <c r="AT36" s="122" t="str">
        <f t="shared" si="26"/>
        <v xml:space="preserve">  Tuition/Fees/Insurance</v>
      </c>
    </row>
    <row r="37" spans="1:56" outlineLevel="1" x14ac:dyDescent="0.2">
      <c r="A37" s="152" t="s">
        <v>228</v>
      </c>
      <c r="B37" s="59"/>
      <c r="C37" s="134" t="s">
        <v>225</v>
      </c>
      <c r="D37" s="155"/>
      <c r="E37" s="155"/>
      <c r="F37" s="155"/>
      <c r="G37" s="155"/>
      <c r="H37" s="102">
        <f>B37*$G$34*(1+$H$11)</f>
        <v>0</v>
      </c>
      <c r="I37" s="181"/>
      <c r="J37" s="181"/>
      <c r="K37" s="181"/>
      <c r="L37" s="155"/>
      <c r="M37" s="155"/>
      <c r="N37" s="103">
        <f>IF($B$7&gt;1,$B37*$M$34*(1+$H$11)*(1+$N$11),0)</f>
        <v>0</v>
      </c>
      <c r="O37" s="182"/>
      <c r="P37" s="182"/>
      <c r="Q37" s="182"/>
      <c r="R37" s="155"/>
      <c r="S37" s="155"/>
      <c r="T37" s="103">
        <f>IF($B$7&gt;2,$B37*$S$34*(1+$H$11)*(1+$N$11)*(1+$T$11),0)</f>
        <v>0</v>
      </c>
      <c r="U37" s="182"/>
      <c r="V37" s="182"/>
      <c r="W37" s="182"/>
      <c r="X37" s="155"/>
      <c r="Y37" s="155"/>
      <c r="Z37" s="103">
        <f>IF($B$7&gt;3,$B37*$Y$34*(1+$H$11)*(1+$N$11)*(1+$T$11)*(1+$Z$11),0)</f>
        <v>0</v>
      </c>
      <c r="AA37" s="182"/>
      <c r="AB37" s="182"/>
      <c r="AC37" s="182"/>
      <c r="AD37" s="155"/>
      <c r="AE37" s="155"/>
      <c r="AF37" s="103">
        <f>IF($B$7&gt;4,$B37*$AE$34*(1+$H$11)*(1+$N$11)*(1+$T$11)*(1+$Z$11)*(1+$AF$11),0)</f>
        <v>0</v>
      </c>
      <c r="AG37" s="182"/>
      <c r="AH37" s="182"/>
      <c r="AI37" s="182"/>
      <c r="AJ37" s="155"/>
      <c r="AK37" s="155"/>
      <c r="AL37" s="103">
        <f>IF($B$7&gt;5,$B37*$AE$34*(1+$H$11)*(1+$N$11)*(1+$T$11)*(1+$Z$11)*(1+$AF$11)*(1+$AL$11),0)</f>
        <v>0</v>
      </c>
      <c r="AM37" s="182"/>
      <c r="AN37" s="182"/>
      <c r="AO37" s="182"/>
      <c r="AP37" s="155"/>
      <c r="AQ37" s="155"/>
      <c r="AR37" s="103">
        <f>IF($B$7&gt;6,$B37*$AE$34*(1+$H$11)*(1+$N$11)*(1+$T$11)*(1+$Z$11)*(1+$AF$11)*(1+$AL$11)*(1+$AR$11),0)</f>
        <v>0</v>
      </c>
      <c r="AS37" s="235">
        <f t="shared" si="27"/>
        <v>0</v>
      </c>
      <c r="AT37" s="122" t="str">
        <f t="shared" si="26"/>
        <v xml:space="preserve">  Travel</v>
      </c>
    </row>
    <row r="38" spans="1:56" outlineLevel="1" x14ac:dyDescent="0.2">
      <c r="A38" s="152" t="s">
        <v>229</v>
      </c>
      <c r="B38" s="59"/>
      <c r="C38" s="134" t="s">
        <v>225</v>
      </c>
      <c r="D38" s="155"/>
      <c r="E38" s="155"/>
      <c r="F38" s="155"/>
      <c r="G38" s="155"/>
      <c r="H38" s="102">
        <f>B38*$G$34*(1+$H$11)</f>
        <v>0</v>
      </c>
      <c r="I38" s="181"/>
      <c r="J38" s="181"/>
      <c r="K38" s="181"/>
      <c r="L38" s="155"/>
      <c r="M38" s="155"/>
      <c r="N38" s="103">
        <f>IF($B$7&gt;1,$B38*$M$34*(1+$H$11)*(1+$N$11),0)</f>
        <v>0</v>
      </c>
      <c r="O38" s="182"/>
      <c r="P38" s="182"/>
      <c r="Q38" s="182"/>
      <c r="R38" s="155"/>
      <c r="S38" s="155"/>
      <c r="T38" s="103">
        <f>IF($B$7&gt;2,$B38*$S$34*(1+$H$11)*(1+$N$11)*(1+$T$11),0)</f>
        <v>0</v>
      </c>
      <c r="U38" s="182"/>
      <c r="V38" s="182"/>
      <c r="W38" s="182"/>
      <c r="X38" s="155"/>
      <c r="Y38" s="155"/>
      <c r="Z38" s="103">
        <f>IF($B$7&gt;3,$B38*$Y$34*(1+$H$11)*(1+$N$11)*(1+$T$11)*(1+$Z$11),0)</f>
        <v>0</v>
      </c>
      <c r="AA38" s="182"/>
      <c r="AB38" s="182"/>
      <c r="AC38" s="182"/>
      <c r="AD38" s="155"/>
      <c r="AE38" s="155"/>
      <c r="AF38" s="103">
        <f>IF($B$7&gt;4,$B38*$AE$34*(1+$H$11)*(1+$N$11)*(1+$T$11)*(1+$Z$11)*(1+$AF$11),0)</f>
        <v>0</v>
      </c>
      <c r="AG38" s="182"/>
      <c r="AH38" s="182"/>
      <c r="AI38" s="182"/>
      <c r="AJ38" s="155"/>
      <c r="AK38" s="155"/>
      <c r="AL38" s="103">
        <f>IF($B$7&gt;5,$B38*$AE$34*(1+$H$11)*(1+$N$11)*(1+$T$11)*(1+$Z$11)*(1+$AF$11)*(1+$AL$11),0)</f>
        <v>0</v>
      </c>
      <c r="AM38" s="182"/>
      <c r="AN38" s="182"/>
      <c r="AO38" s="182"/>
      <c r="AP38" s="155"/>
      <c r="AQ38" s="155"/>
      <c r="AR38" s="103">
        <f>IF($B$7&gt;6,$B38*$AE$34*(1+$H$11)*(1+$N$11)*(1+$T$11)*(1+$Z$11)*(1+$AF$11)*(1+$AL$11)*(1+$AR$11),0)</f>
        <v>0</v>
      </c>
      <c r="AS38" s="235">
        <f t="shared" si="27"/>
        <v>0</v>
      </c>
      <c r="AT38" s="122" t="str">
        <f t="shared" si="26"/>
        <v xml:space="preserve">  Subsistence</v>
      </c>
    </row>
    <row r="39" spans="1:56" ht="13.5" outlineLevel="1" thickBot="1" x14ac:dyDescent="0.25">
      <c r="A39" s="152" t="s">
        <v>230</v>
      </c>
      <c r="B39" s="59"/>
      <c r="C39" s="134" t="s">
        <v>225</v>
      </c>
      <c r="D39" s="155"/>
      <c r="E39" s="155"/>
      <c r="F39" s="155"/>
      <c r="G39" s="155"/>
      <c r="H39" s="104">
        <f>B39*$G$34*(1+$H$11)</f>
        <v>0</v>
      </c>
      <c r="I39" s="181"/>
      <c r="J39" s="181"/>
      <c r="K39" s="181"/>
      <c r="L39" s="155"/>
      <c r="M39" s="155"/>
      <c r="N39" s="103">
        <f>IF($B$7&gt;1,$B39*$M$34*(1+$H$11)*(1+$N$11),0)</f>
        <v>0</v>
      </c>
      <c r="O39" s="182"/>
      <c r="P39" s="182"/>
      <c r="Q39" s="182"/>
      <c r="R39" s="155"/>
      <c r="S39" s="155"/>
      <c r="T39" s="103">
        <f>IF($B$7&gt;2,$B39*$S$34*(1+$H$11)*(1+$N$11)*(1+$T$11),0)</f>
        <v>0</v>
      </c>
      <c r="U39" s="182"/>
      <c r="V39" s="182"/>
      <c r="W39" s="182"/>
      <c r="X39" s="155"/>
      <c r="Y39" s="155"/>
      <c r="Z39" s="103">
        <f>IF($B$7&gt;3,$B39*$Y$34*(1+$H$11)*(1+$N$11)*(1+$T$11)*(1+$Z$11),0)</f>
        <v>0</v>
      </c>
      <c r="AA39" s="182"/>
      <c r="AB39" s="182"/>
      <c r="AC39" s="182"/>
      <c r="AD39" s="155"/>
      <c r="AE39" s="155"/>
      <c r="AF39" s="103">
        <f>IF($B$7&gt;4,$B39*$AE$34*(1+$H$11)*(1+$N$11)*(1+$T$11)*(1+$Z$11)*(1+$AF$11),0)</f>
        <v>0</v>
      </c>
      <c r="AG39" s="182"/>
      <c r="AH39" s="182"/>
      <c r="AI39" s="182"/>
      <c r="AJ39" s="155"/>
      <c r="AK39" s="155"/>
      <c r="AL39" s="103">
        <f>IF($B$7&gt;5,$B39*$AE$34*(1+$H$11)*(1+$N$11)*(1+$T$11)*(1+$Z$11)*(1+$AF$11)*(1+$AL$11),0)</f>
        <v>0</v>
      </c>
      <c r="AM39" s="182"/>
      <c r="AN39" s="182"/>
      <c r="AO39" s="182"/>
      <c r="AP39" s="155"/>
      <c r="AQ39" s="155"/>
      <c r="AR39" s="103">
        <f>IF($B$7&gt;6,$B39*$AE$34*(1+$H$11)*(1+$N$11)*(1+$T$11)*(1+$Z$11)*(1+$AF$11)*(1+$AL$11)*(1+$AR$11),0)</f>
        <v>0</v>
      </c>
      <c r="AS39" s="236">
        <f t="shared" si="27"/>
        <v>0</v>
      </c>
      <c r="AT39" s="122" t="str">
        <f t="shared" si="26"/>
        <v xml:space="preserve">  Other</v>
      </c>
    </row>
    <row r="40" spans="1:56" ht="13.5" outlineLevel="1" thickBot="1" x14ac:dyDescent="0.25">
      <c r="A40" s="176" t="s">
        <v>125</v>
      </c>
      <c r="B40" s="183"/>
      <c r="C40" s="177"/>
      <c r="D40" s="159"/>
      <c r="E40" s="159"/>
      <c r="F40" s="159"/>
      <c r="G40" s="159"/>
      <c r="H40" s="105">
        <f>SUM(H35:H39)</f>
        <v>0</v>
      </c>
      <c r="I40" s="159"/>
      <c r="J40" s="159"/>
      <c r="K40" s="159"/>
      <c r="L40" s="159"/>
      <c r="M40" s="159"/>
      <c r="N40" s="105">
        <f>SUM(N35:N39)</f>
        <v>0</v>
      </c>
      <c r="O40" s="159"/>
      <c r="P40" s="159"/>
      <c r="Q40" s="159"/>
      <c r="R40" s="159"/>
      <c r="S40" s="159"/>
      <c r="T40" s="105">
        <f>SUM(T35:T39)</f>
        <v>0</v>
      </c>
      <c r="U40" s="159"/>
      <c r="V40" s="159"/>
      <c r="W40" s="159"/>
      <c r="X40" s="159"/>
      <c r="Y40" s="159"/>
      <c r="Z40" s="105">
        <f>SUM(Z35:Z39)</f>
        <v>0</v>
      </c>
      <c r="AA40" s="159"/>
      <c r="AB40" s="159"/>
      <c r="AC40" s="159"/>
      <c r="AD40" s="159"/>
      <c r="AE40" s="159"/>
      <c r="AF40" s="105">
        <f>SUM(AF35:AF39)</f>
        <v>0</v>
      </c>
      <c r="AG40" s="159"/>
      <c r="AH40" s="159"/>
      <c r="AI40" s="159"/>
      <c r="AJ40" s="159"/>
      <c r="AK40" s="159"/>
      <c r="AL40" s="105">
        <f>SUM(AL35:AL39)</f>
        <v>0</v>
      </c>
      <c r="AM40" s="159"/>
      <c r="AN40" s="159"/>
      <c r="AO40" s="159"/>
      <c r="AP40" s="159"/>
      <c r="AQ40" s="159"/>
      <c r="AR40" s="105">
        <f>SUM(AR35:AR39)</f>
        <v>0</v>
      </c>
      <c r="AS40" s="79">
        <f>SUM(H40,N40,T40,Z40,AF40,AL40,AR40)</f>
        <v>0</v>
      </c>
      <c r="AT40" s="126" t="s">
        <v>126</v>
      </c>
    </row>
    <row r="41" spans="1:56" x14ac:dyDescent="0.2">
      <c r="A41" s="179" t="s">
        <v>127</v>
      </c>
      <c r="B41" s="442" t="s">
        <v>128</v>
      </c>
      <c r="C41" s="443"/>
      <c r="D41" s="443"/>
      <c r="E41" s="443"/>
      <c r="F41" s="443"/>
      <c r="G41" s="443"/>
      <c r="H41" s="151" t="s">
        <v>72</v>
      </c>
      <c r="I41" s="184"/>
      <c r="J41" s="185"/>
      <c r="K41" s="185"/>
      <c r="L41" s="185"/>
      <c r="M41" s="185"/>
      <c r="N41" s="185" t="s">
        <v>73</v>
      </c>
      <c r="O41" s="184"/>
      <c r="P41" s="185"/>
      <c r="Q41" s="185"/>
      <c r="R41" s="185"/>
      <c r="S41" s="185"/>
      <c r="T41" s="185" t="s">
        <v>74</v>
      </c>
      <c r="U41" s="184"/>
      <c r="V41" s="185"/>
      <c r="W41" s="185"/>
      <c r="X41" s="185"/>
      <c r="Y41" s="185"/>
      <c r="Z41" s="185" t="s">
        <v>75</v>
      </c>
      <c r="AA41" s="184"/>
      <c r="AB41" s="185"/>
      <c r="AC41" s="185"/>
      <c r="AD41" s="185"/>
      <c r="AE41" s="185"/>
      <c r="AF41" s="185" t="s">
        <v>76</v>
      </c>
      <c r="AG41" s="184"/>
      <c r="AH41" s="185"/>
      <c r="AI41" s="185"/>
      <c r="AJ41" s="185"/>
      <c r="AK41" s="185"/>
      <c r="AL41" s="185" t="s">
        <v>77</v>
      </c>
      <c r="AM41" s="184"/>
      <c r="AN41" s="185"/>
      <c r="AO41" s="185"/>
      <c r="AP41" s="185"/>
      <c r="AQ41" s="185"/>
      <c r="AR41" s="185" t="s">
        <v>78</v>
      </c>
      <c r="AS41" s="186"/>
      <c r="AT41" s="127" t="s">
        <v>127</v>
      </c>
    </row>
    <row r="42" spans="1:56" ht="13.5" thickBot="1" x14ac:dyDescent="0.25">
      <c r="A42" s="152" t="s">
        <v>129</v>
      </c>
      <c r="B42" s="59"/>
      <c r="C42" s="134"/>
      <c r="D42" s="155"/>
      <c r="E42" s="155"/>
      <c r="F42" s="155"/>
      <c r="G42" s="155"/>
      <c r="H42" s="63">
        <f>$B42*(1+$H$11)</f>
        <v>0</v>
      </c>
      <c r="I42" s="187"/>
      <c r="J42" s="155"/>
      <c r="K42" s="155"/>
      <c r="L42" s="155"/>
      <c r="M42" s="155"/>
      <c r="N42" s="63">
        <f t="shared" ref="N42:N52" si="28">IF($B$7&gt;1,$B42*(1+$H$11)*(1+$N$11),0)</f>
        <v>0</v>
      </c>
      <c r="O42" s="155"/>
      <c r="P42" s="155"/>
      <c r="Q42" s="155"/>
      <c r="R42" s="155"/>
      <c r="S42" s="155"/>
      <c r="T42" s="63">
        <f t="shared" ref="T42:T52" si="29">IF($B$7&gt;2,$B42*(1+$H$11)*(1+$N$11)*(1+$T$11),0)</f>
        <v>0</v>
      </c>
      <c r="U42" s="155"/>
      <c r="V42" s="155"/>
      <c r="W42" s="155"/>
      <c r="X42" s="155"/>
      <c r="Y42" s="155"/>
      <c r="Z42" s="63">
        <f t="shared" ref="Z42:Z52" si="30">IF($B$7&gt;3,$B42*(1+$H$11)*(1+$N$11)*(1+$T$11)*(1+$Z$11),0)</f>
        <v>0</v>
      </c>
      <c r="AA42" s="155"/>
      <c r="AB42" s="155"/>
      <c r="AC42" s="155"/>
      <c r="AD42" s="155"/>
      <c r="AE42" s="155"/>
      <c r="AF42" s="63">
        <f t="shared" ref="AF42:AF52" si="31">IF($B$7&gt;4,$B42*(1+$H$11)*(1+$N$11)*(1+$T$11)*(1+$Z$11)*(1+$AF$11),0)</f>
        <v>0</v>
      </c>
      <c r="AG42" s="155"/>
      <c r="AH42" s="155"/>
      <c r="AI42" s="155"/>
      <c r="AJ42" s="155"/>
      <c r="AK42" s="155"/>
      <c r="AL42" s="63">
        <f t="shared" ref="AL42:AL52" si="32">IF($B$7&gt;5,$B42*(1+$H$11)*(1+$N$11)*(1+$T$11)*(1+$Z$11)*(1+$AF$11)*(1+$AL$11),0)</f>
        <v>0</v>
      </c>
      <c r="AM42" s="155"/>
      <c r="AN42" s="155"/>
      <c r="AO42" s="155"/>
      <c r="AP42" s="155"/>
      <c r="AQ42" s="155"/>
      <c r="AR42" s="63">
        <f t="shared" ref="AR42:AR52" si="33">IF($B$7&gt;6,$B42*(1+$H$11)*(1+$N$11)*(1+$T$11)*(1+$Z$11)*(1+$AF$11)*(1+$AL$11)*(1+$AR$11),0)</f>
        <v>0</v>
      </c>
      <c r="AS42" s="78">
        <f>SUM(AF42,Z42,T42,N42,H42,AL42,AR42)</f>
        <v>0</v>
      </c>
      <c r="AT42" s="212" t="str">
        <f>A42</f>
        <v xml:space="preserve">  Materials and Supplies</v>
      </c>
      <c r="AV42" s="369" t="s">
        <v>130</v>
      </c>
      <c r="AW42" s="370"/>
      <c r="AX42" s="371"/>
      <c r="AY42" s="372"/>
      <c r="AZ42" s="373"/>
      <c r="BA42" s="373"/>
      <c r="BB42" s="373"/>
      <c r="BC42" s="373"/>
      <c r="BD42" s="373"/>
    </row>
    <row r="43" spans="1:56" x14ac:dyDescent="0.2">
      <c r="A43" s="152" t="s">
        <v>131</v>
      </c>
      <c r="B43" s="59"/>
      <c r="C43" s="134"/>
      <c r="D43" s="155"/>
      <c r="E43" s="155"/>
      <c r="F43" s="155"/>
      <c r="G43" s="155"/>
      <c r="H43" s="63">
        <f t="shared" ref="H43:H52" si="34">$B43*(1+$H$11)</f>
        <v>0</v>
      </c>
      <c r="I43" s="187"/>
      <c r="J43" s="155"/>
      <c r="K43" s="155"/>
      <c r="L43" s="155"/>
      <c r="M43" s="155"/>
      <c r="N43" s="63">
        <f t="shared" si="28"/>
        <v>0</v>
      </c>
      <c r="O43" s="155"/>
      <c r="P43" s="155"/>
      <c r="Q43" s="155"/>
      <c r="R43" s="155"/>
      <c r="S43" s="155"/>
      <c r="T43" s="63">
        <f t="shared" si="29"/>
        <v>0</v>
      </c>
      <c r="U43" s="155"/>
      <c r="V43" s="155"/>
      <c r="W43" s="155"/>
      <c r="X43" s="155"/>
      <c r="Y43" s="155"/>
      <c r="Z43" s="63">
        <f t="shared" si="30"/>
        <v>0</v>
      </c>
      <c r="AA43" s="155"/>
      <c r="AB43" s="155"/>
      <c r="AC43" s="155"/>
      <c r="AD43" s="155"/>
      <c r="AE43" s="155"/>
      <c r="AF43" s="63">
        <f t="shared" si="31"/>
        <v>0</v>
      </c>
      <c r="AG43" s="155"/>
      <c r="AH43" s="155"/>
      <c r="AI43" s="155"/>
      <c r="AJ43" s="155"/>
      <c r="AK43" s="155"/>
      <c r="AL43" s="63">
        <f t="shared" si="32"/>
        <v>0</v>
      </c>
      <c r="AM43" s="155"/>
      <c r="AN43" s="155"/>
      <c r="AO43" s="155"/>
      <c r="AP43" s="155"/>
      <c r="AQ43" s="155"/>
      <c r="AR43" s="63">
        <f t="shared" si="33"/>
        <v>0</v>
      </c>
      <c r="AS43" s="81">
        <f t="shared" ref="AS43:AS52" si="35">SUM(AF43,Z43,T43,N43,H43,AL43,AR43)</f>
        <v>0</v>
      </c>
      <c r="AT43" s="212" t="str">
        <f t="shared" ref="AT43:AT52" si="36">A43</f>
        <v xml:space="preserve">  Publication Costs</v>
      </c>
      <c r="AV43" s="215" t="s">
        <v>132</v>
      </c>
      <c r="AW43" s="216"/>
      <c r="AX43" s="217"/>
      <c r="AY43" s="218"/>
      <c r="AZ43" s="219"/>
      <c r="BA43" s="219"/>
      <c r="BB43" s="219"/>
      <c r="BC43" s="219"/>
      <c r="BD43" s="220"/>
    </row>
    <row r="44" spans="1:56" x14ac:dyDescent="0.2">
      <c r="A44" s="152" t="s">
        <v>216</v>
      </c>
      <c r="B44" s="59"/>
      <c r="C44" s="134"/>
      <c r="D44" s="155"/>
      <c r="E44" s="155"/>
      <c r="F44" s="155"/>
      <c r="G44" s="155"/>
      <c r="H44" s="63">
        <f t="shared" si="34"/>
        <v>0</v>
      </c>
      <c r="I44" s="187"/>
      <c r="J44" s="155"/>
      <c r="K44" s="155"/>
      <c r="L44" s="155"/>
      <c r="M44" s="155"/>
      <c r="N44" s="63">
        <f t="shared" si="28"/>
        <v>0</v>
      </c>
      <c r="O44" s="155"/>
      <c r="P44" s="155"/>
      <c r="Q44" s="155"/>
      <c r="R44" s="155"/>
      <c r="S44" s="155"/>
      <c r="T44" s="63">
        <f t="shared" si="29"/>
        <v>0</v>
      </c>
      <c r="U44" s="155"/>
      <c r="V44" s="155"/>
      <c r="W44" s="155"/>
      <c r="X44" s="155"/>
      <c r="Y44" s="155"/>
      <c r="Z44" s="63">
        <f t="shared" si="30"/>
        <v>0</v>
      </c>
      <c r="AA44" s="155"/>
      <c r="AB44" s="155"/>
      <c r="AC44" s="155"/>
      <c r="AD44" s="155"/>
      <c r="AE44" s="155"/>
      <c r="AF44" s="63">
        <f t="shared" si="31"/>
        <v>0</v>
      </c>
      <c r="AG44" s="155"/>
      <c r="AH44" s="155"/>
      <c r="AI44" s="155"/>
      <c r="AJ44" s="155"/>
      <c r="AK44" s="155"/>
      <c r="AL44" s="63">
        <f t="shared" si="32"/>
        <v>0</v>
      </c>
      <c r="AM44" s="155"/>
      <c r="AN44" s="155"/>
      <c r="AO44" s="155"/>
      <c r="AP44" s="155"/>
      <c r="AQ44" s="155"/>
      <c r="AR44" s="63">
        <f t="shared" si="33"/>
        <v>0</v>
      </c>
      <c r="AS44" s="81">
        <f t="shared" si="35"/>
        <v>0</v>
      </c>
      <c r="AT44" s="212" t="str">
        <f t="shared" si="36"/>
        <v xml:space="preserve">  Consultant/Professional Services</v>
      </c>
      <c r="AV44" s="221">
        <v>0</v>
      </c>
      <c r="AW44" s="230" t="s">
        <v>133</v>
      </c>
      <c r="AY44" s="448" t="s">
        <v>134</v>
      </c>
      <c r="AZ44" s="448"/>
      <c r="BA44" s="448"/>
      <c r="BB44" s="448"/>
      <c r="BC44" s="448"/>
      <c r="BD44" s="449"/>
    </row>
    <row r="45" spans="1:56" x14ac:dyDescent="0.2">
      <c r="A45" s="375" t="s">
        <v>223</v>
      </c>
      <c r="B45" s="59"/>
      <c r="C45" s="134"/>
      <c r="D45" s="134"/>
      <c r="E45" s="134"/>
      <c r="F45" s="134"/>
      <c r="G45" s="155"/>
      <c r="H45" s="63">
        <f t="shared" si="34"/>
        <v>0</v>
      </c>
      <c r="I45" s="187"/>
      <c r="J45" s="155"/>
      <c r="K45" s="155"/>
      <c r="L45" s="157"/>
      <c r="M45" s="155"/>
      <c r="N45" s="63">
        <f t="shared" si="28"/>
        <v>0</v>
      </c>
      <c r="O45" s="155"/>
      <c r="P45" s="155"/>
      <c r="Q45" s="155"/>
      <c r="R45" s="157"/>
      <c r="S45" s="155"/>
      <c r="T45" s="63">
        <f t="shared" si="29"/>
        <v>0</v>
      </c>
      <c r="U45" s="155"/>
      <c r="V45" s="155"/>
      <c r="W45" s="155"/>
      <c r="X45" s="157"/>
      <c r="Y45" s="155"/>
      <c r="Z45" s="63">
        <f t="shared" si="30"/>
        <v>0</v>
      </c>
      <c r="AA45" s="155"/>
      <c r="AB45" s="155"/>
      <c r="AC45" s="155"/>
      <c r="AD45" s="157"/>
      <c r="AE45" s="155"/>
      <c r="AF45" s="63">
        <f t="shared" si="31"/>
        <v>0</v>
      </c>
      <c r="AG45" s="155"/>
      <c r="AH45" s="155"/>
      <c r="AI45" s="155"/>
      <c r="AJ45" s="157"/>
      <c r="AK45" s="155"/>
      <c r="AL45" s="63">
        <f t="shared" si="32"/>
        <v>0</v>
      </c>
      <c r="AM45" s="155"/>
      <c r="AN45" s="155"/>
      <c r="AO45" s="155"/>
      <c r="AP45" s="157"/>
      <c r="AQ45" s="155"/>
      <c r="AR45" s="63">
        <f t="shared" si="33"/>
        <v>0</v>
      </c>
      <c r="AS45" s="81">
        <f t="shared" si="35"/>
        <v>0</v>
      </c>
      <c r="AT45" s="212" t="str">
        <f t="shared" si="36"/>
        <v xml:space="preserve">  Alternations/Renovations/Rental Use - SELECT ONE</v>
      </c>
      <c r="AV45" s="221">
        <v>0</v>
      </c>
      <c r="AW45" s="230" t="s">
        <v>135</v>
      </c>
      <c r="AY45" s="448"/>
      <c r="AZ45" s="448"/>
      <c r="BA45" s="448"/>
      <c r="BB45" s="448"/>
      <c r="BC45" s="448"/>
      <c r="BD45" s="449"/>
    </row>
    <row r="46" spans="1:56" x14ac:dyDescent="0.2">
      <c r="A46" s="152" t="s">
        <v>136</v>
      </c>
      <c r="B46" s="59"/>
      <c r="C46" s="134"/>
      <c r="D46" s="134"/>
      <c r="E46" s="134"/>
      <c r="F46" s="134"/>
      <c r="G46" s="155"/>
      <c r="H46" s="63">
        <f t="shared" si="34"/>
        <v>0</v>
      </c>
      <c r="I46" s="187"/>
      <c r="J46" s="155"/>
      <c r="K46" s="155"/>
      <c r="L46" s="157"/>
      <c r="M46" s="155"/>
      <c r="N46" s="63">
        <f t="shared" si="28"/>
        <v>0</v>
      </c>
      <c r="O46" s="155"/>
      <c r="P46" s="155"/>
      <c r="Q46" s="155"/>
      <c r="R46" s="157"/>
      <c r="S46" s="155"/>
      <c r="T46" s="63">
        <f t="shared" si="29"/>
        <v>0</v>
      </c>
      <c r="U46" s="155"/>
      <c r="V46" s="155"/>
      <c r="W46" s="155"/>
      <c r="X46" s="157"/>
      <c r="Y46" s="155"/>
      <c r="Z46" s="63">
        <f t="shared" si="30"/>
        <v>0</v>
      </c>
      <c r="AA46" s="155"/>
      <c r="AB46" s="155"/>
      <c r="AC46" s="155"/>
      <c r="AD46" s="157"/>
      <c r="AE46" s="155"/>
      <c r="AF46" s="63">
        <f t="shared" si="31"/>
        <v>0</v>
      </c>
      <c r="AG46" s="155"/>
      <c r="AH46" s="155"/>
      <c r="AI46" s="155"/>
      <c r="AJ46" s="157"/>
      <c r="AK46" s="155"/>
      <c r="AL46" s="63">
        <f t="shared" si="32"/>
        <v>0</v>
      </c>
      <c r="AM46" s="155"/>
      <c r="AN46" s="155"/>
      <c r="AO46" s="155"/>
      <c r="AP46" s="157"/>
      <c r="AQ46" s="155"/>
      <c r="AR46" s="63">
        <f t="shared" si="33"/>
        <v>0</v>
      </c>
      <c r="AS46" s="81">
        <f t="shared" si="35"/>
        <v>0</v>
      </c>
      <c r="AT46" s="212" t="str">
        <f t="shared" si="36"/>
        <v xml:space="preserve">  Tuition (excluded from MTDC)</v>
      </c>
      <c r="AV46" s="221">
        <v>0</v>
      </c>
      <c r="AW46" s="230" t="s">
        <v>137</v>
      </c>
      <c r="AY46" s="448"/>
      <c r="AZ46" s="448"/>
      <c r="BA46" s="448"/>
      <c r="BB46" s="448"/>
      <c r="BC46" s="448"/>
      <c r="BD46" s="449"/>
    </row>
    <row r="47" spans="1:56" x14ac:dyDescent="0.2">
      <c r="A47" s="152" t="s">
        <v>138</v>
      </c>
      <c r="B47" s="59"/>
      <c r="C47" s="134"/>
      <c r="D47" s="134"/>
      <c r="E47" s="134"/>
      <c r="F47" s="134"/>
      <c r="G47" s="155"/>
      <c r="H47" s="63">
        <f t="shared" si="34"/>
        <v>0</v>
      </c>
      <c r="I47" s="187"/>
      <c r="J47" s="155"/>
      <c r="K47" s="155"/>
      <c r="L47" s="157"/>
      <c r="M47" s="155"/>
      <c r="N47" s="63">
        <f t="shared" si="28"/>
        <v>0</v>
      </c>
      <c r="O47" s="155"/>
      <c r="P47" s="155"/>
      <c r="Q47" s="155"/>
      <c r="R47" s="157"/>
      <c r="S47" s="155"/>
      <c r="T47" s="63">
        <f t="shared" si="29"/>
        <v>0</v>
      </c>
      <c r="U47" s="155"/>
      <c r="V47" s="155"/>
      <c r="W47" s="155"/>
      <c r="X47" s="157"/>
      <c r="Y47" s="155"/>
      <c r="Z47" s="63">
        <f t="shared" si="30"/>
        <v>0</v>
      </c>
      <c r="AA47" s="155"/>
      <c r="AB47" s="155"/>
      <c r="AC47" s="155"/>
      <c r="AD47" s="157"/>
      <c r="AE47" s="155"/>
      <c r="AF47" s="63">
        <f t="shared" si="31"/>
        <v>0</v>
      </c>
      <c r="AG47" s="155"/>
      <c r="AH47" s="155"/>
      <c r="AI47" s="155"/>
      <c r="AJ47" s="157"/>
      <c r="AK47" s="155"/>
      <c r="AL47" s="63">
        <f t="shared" si="32"/>
        <v>0</v>
      </c>
      <c r="AM47" s="155"/>
      <c r="AN47" s="155"/>
      <c r="AO47" s="155"/>
      <c r="AP47" s="157"/>
      <c r="AQ47" s="155"/>
      <c r="AR47" s="63">
        <f t="shared" si="33"/>
        <v>0</v>
      </c>
      <c r="AS47" s="81">
        <f t="shared" si="35"/>
        <v>0</v>
      </c>
      <c r="AT47" s="212" t="str">
        <f t="shared" si="36"/>
        <v xml:space="preserve">  Human Subject Remuneration</v>
      </c>
      <c r="AV47" s="221">
        <v>0</v>
      </c>
      <c r="AW47" s="230" t="s">
        <v>139</v>
      </c>
      <c r="AY47" s="448"/>
      <c r="AZ47" s="448"/>
      <c r="BA47" s="448"/>
      <c r="BB47" s="448"/>
      <c r="BC47" s="448"/>
      <c r="BD47" s="449"/>
    </row>
    <row r="48" spans="1:56" x14ac:dyDescent="0.2">
      <c r="A48" s="152" t="s">
        <v>140</v>
      </c>
      <c r="B48" s="59"/>
      <c r="C48" s="134"/>
      <c r="D48" s="134"/>
      <c r="E48" s="134"/>
      <c r="F48" s="134"/>
      <c r="G48" s="155"/>
      <c r="H48" s="63">
        <f t="shared" si="34"/>
        <v>0</v>
      </c>
      <c r="I48" s="187"/>
      <c r="J48" s="155"/>
      <c r="K48" s="155"/>
      <c r="L48" s="157"/>
      <c r="M48" s="155"/>
      <c r="N48" s="63">
        <f t="shared" si="28"/>
        <v>0</v>
      </c>
      <c r="O48" s="155"/>
      <c r="P48" s="155"/>
      <c r="Q48" s="155"/>
      <c r="R48" s="157"/>
      <c r="S48" s="155"/>
      <c r="T48" s="63">
        <f t="shared" si="29"/>
        <v>0</v>
      </c>
      <c r="U48" s="155"/>
      <c r="V48" s="155"/>
      <c r="W48" s="155"/>
      <c r="X48" s="157"/>
      <c r="Y48" s="155"/>
      <c r="Z48" s="63">
        <f t="shared" si="30"/>
        <v>0</v>
      </c>
      <c r="AA48" s="155"/>
      <c r="AB48" s="155"/>
      <c r="AC48" s="155"/>
      <c r="AD48" s="157"/>
      <c r="AE48" s="155"/>
      <c r="AF48" s="63">
        <f t="shared" si="31"/>
        <v>0</v>
      </c>
      <c r="AG48" s="155"/>
      <c r="AH48" s="155"/>
      <c r="AI48" s="155"/>
      <c r="AJ48" s="157"/>
      <c r="AK48" s="155"/>
      <c r="AL48" s="63">
        <f t="shared" si="32"/>
        <v>0</v>
      </c>
      <c r="AM48" s="155"/>
      <c r="AN48" s="155"/>
      <c r="AO48" s="155"/>
      <c r="AP48" s="157"/>
      <c r="AQ48" s="155"/>
      <c r="AR48" s="63">
        <f t="shared" si="33"/>
        <v>0</v>
      </c>
      <c r="AS48" s="81">
        <f t="shared" si="35"/>
        <v>0</v>
      </c>
      <c r="AT48" s="212" t="str">
        <f t="shared" si="36"/>
        <v xml:space="preserve">  Vivarium/Animal Costs</v>
      </c>
      <c r="AU48" s="213"/>
      <c r="AV48" s="221">
        <v>0</v>
      </c>
      <c r="AW48" s="230" t="s">
        <v>141</v>
      </c>
      <c r="AY48" s="448"/>
      <c r="AZ48" s="448"/>
      <c r="BA48" s="448"/>
      <c r="BB48" s="448"/>
      <c r="BC48" s="448"/>
      <c r="BD48" s="449"/>
    </row>
    <row r="49" spans="1:105" x14ac:dyDescent="0.2">
      <c r="A49" s="152" t="s">
        <v>142</v>
      </c>
      <c r="B49" s="59"/>
      <c r="C49" s="134"/>
      <c r="D49" s="134"/>
      <c r="E49" s="134"/>
      <c r="F49" s="134"/>
      <c r="G49" s="155"/>
      <c r="H49" s="63">
        <f t="shared" si="34"/>
        <v>0</v>
      </c>
      <c r="I49" s="187"/>
      <c r="J49" s="155"/>
      <c r="K49" s="155"/>
      <c r="L49" s="157"/>
      <c r="M49" s="155"/>
      <c r="N49" s="63">
        <f t="shared" si="28"/>
        <v>0</v>
      </c>
      <c r="O49" s="155"/>
      <c r="P49" s="155"/>
      <c r="Q49" s="155"/>
      <c r="R49" s="157"/>
      <c r="S49" s="155"/>
      <c r="T49" s="63">
        <f t="shared" si="29"/>
        <v>0</v>
      </c>
      <c r="U49" s="155"/>
      <c r="V49" s="155"/>
      <c r="W49" s="155"/>
      <c r="X49" s="157"/>
      <c r="Y49" s="155"/>
      <c r="Z49" s="63">
        <f t="shared" si="30"/>
        <v>0</v>
      </c>
      <c r="AA49" s="155"/>
      <c r="AB49" s="155"/>
      <c r="AC49" s="155"/>
      <c r="AD49" s="157"/>
      <c r="AE49" s="155"/>
      <c r="AF49" s="63">
        <f t="shared" si="31"/>
        <v>0</v>
      </c>
      <c r="AG49" s="155"/>
      <c r="AH49" s="155"/>
      <c r="AI49" s="155"/>
      <c r="AJ49" s="157"/>
      <c r="AK49" s="155"/>
      <c r="AL49" s="63">
        <f t="shared" si="32"/>
        <v>0</v>
      </c>
      <c r="AM49" s="155"/>
      <c r="AN49" s="155"/>
      <c r="AO49" s="155"/>
      <c r="AP49" s="157"/>
      <c r="AQ49" s="155"/>
      <c r="AR49" s="63">
        <f t="shared" si="33"/>
        <v>0</v>
      </c>
      <c r="AS49" s="81">
        <f t="shared" si="35"/>
        <v>0</v>
      </c>
      <c r="AT49" s="212" t="str">
        <f t="shared" si="36"/>
        <v xml:space="preserve">  Other Data Management and Sharing Costs</v>
      </c>
      <c r="AV49" s="222">
        <f>AS49</f>
        <v>0</v>
      </c>
      <c r="AW49" s="230" t="s">
        <v>143</v>
      </c>
      <c r="AY49" s="450" t="s">
        <v>144</v>
      </c>
      <c r="AZ49" s="450"/>
      <c r="BA49" s="450"/>
      <c r="BB49" s="450"/>
      <c r="BC49" s="450"/>
      <c r="BD49" s="451"/>
    </row>
    <row r="50" spans="1:105" x14ac:dyDescent="0.2">
      <c r="A50" s="152" t="s">
        <v>232</v>
      </c>
      <c r="B50" s="59"/>
      <c r="C50" s="134"/>
      <c r="D50" s="134"/>
      <c r="E50" s="134"/>
      <c r="F50" s="134"/>
      <c r="G50" s="155"/>
      <c r="H50" s="63">
        <f t="shared" si="34"/>
        <v>0</v>
      </c>
      <c r="I50" s="187"/>
      <c r="J50" s="155"/>
      <c r="K50" s="155"/>
      <c r="L50" s="157"/>
      <c r="M50" s="155"/>
      <c r="N50" s="63">
        <f t="shared" si="28"/>
        <v>0</v>
      </c>
      <c r="O50" s="155"/>
      <c r="P50" s="155"/>
      <c r="Q50" s="155"/>
      <c r="R50" s="157"/>
      <c r="S50" s="155"/>
      <c r="T50" s="63">
        <f t="shared" si="29"/>
        <v>0</v>
      </c>
      <c r="U50" s="155"/>
      <c r="V50" s="155"/>
      <c r="W50" s="155"/>
      <c r="X50" s="157"/>
      <c r="Y50" s="155"/>
      <c r="Z50" s="63">
        <f t="shared" si="30"/>
        <v>0</v>
      </c>
      <c r="AA50" s="155"/>
      <c r="AB50" s="155"/>
      <c r="AC50" s="155"/>
      <c r="AD50" s="157"/>
      <c r="AE50" s="155"/>
      <c r="AF50" s="63">
        <f t="shared" si="31"/>
        <v>0</v>
      </c>
      <c r="AG50" s="155"/>
      <c r="AH50" s="155"/>
      <c r="AI50" s="155"/>
      <c r="AJ50" s="157"/>
      <c r="AK50" s="155"/>
      <c r="AL50" s="63">
        <f t="shared" si="32"/>
        <v>0</v>
      </c>
      <c r="AM50" s="155"/>
      <c r="AN50" s="155"/>
      <c r="AO50" s="155"/>
      <c r="AP50" s="157"/>
      <c r="AQ50" s="155"/>
      <c r="AR50" s="63">
        <f t="shared" si="33"/>
        <v>0</v>
      </c>
      <c r="AS50" s="81">
        <f t="shared" ref="AS50" si="37">SUM(AF50,Z50,T50,N50,H50,AL50,AR50)</f>
        <v>0</v>
      </c>
      <c r="AT50" s="212" t="str">
        <f t="shared" ref="AT50" si="38">A50</f>
        <v xml:space="preserve">  Software (including cloud-based research services) </v>
      </c>
      <c r="AV50" s="231">
        <f>SUM(AV43:AV48)</f>
        <v>0</v>
      </c>
      <c r="AW50" s="232" t="s">
        <v>146</v>
      </c>
      <c r="AX50" s="233"/>
      <c r="AY50" s="450"/>
      <c r="AZ50" s="450"/>
      <c r="BA50" s="450"/>
      <c r="BB50" s="450"/>
      <c r="BC50" s="450"/>
      <c r="BD50" s="451"/>
    </row>
    <row r="51" spans="1:105" x14ac:dyDescent="0.2">
      <c r="A51" s="152" t="s">
        <v>145</v>
      </c>
      <c r="B51" s="59"/>
      <c r="C51" s="134"/>
      <c r="D51" s="134"/>
      <c r="E51" s="134"/>
      <c r="F51" s="134"/>
      <c r="G51" s="155"/>
      <c r="H51" s="63">
        <f t="shared" si="34"/>
        <v>0</v>
      </c>
      <c r="I51" s="187"/>
      <c r="J51" s="155"/>
      <c r="K51" s="155"/>
      <c r="L51" s="157"/>
      <c r="M51" s="155"/>
      <c r="N51" s="63">
        <f t="shared" si="28"/>
        <v>0</v>
      </c>
      <c r="O51" s="155"/>
      <c r="P51" s="155"/>
      <c r="Q51" s="155"/>
      <c r="R51" s="157"/>
      <c r="S51" s="155"/>
      <c r="T51" s="63">
        <f t="shared" si="29"/>
        <v>0</v>
      </c>
      <c r="U51" s="155"/>
      <c r="V51" s="155"/>
      <c r="W51" s="155"/>
      <c r="X51" s="157"/>
      <c r="Y51" s="155"/>
      <c r="Z51" s="63">
        <f t="shared" si="30"/>
        <v>0</v>
      </c>
      <c r="AA51" s="155"/>
      <c r="AB51" s="155"/>
      <c r="AC51" s="155"/>
      <c r="AD51" s="157"/>
      <c r="AE51" s="155"/>
      <c r="AF51" s="63">
        <f t="shared" si="31"/>
        <v>0</v>
      </c>
      <c r="AG51" s="155"/>
      <c r="AH51" s="155"/>
      <c r="AI51" s="155"/>
      <c r="AJ51" s="157"/>
      <c r="AK51" s="155"/>
      <c r="AL51" s="63">
        <f t="shared" si="32"/>
        <v>0</v>
      </c>
      <c r="AM51" s="155"/>
      <c r="AN51" s="155"/>
      <c r="AO51" s="155"/>
      <c r="AP51" s="157"/>
      <c r="AQ51" s="155"/>
      <c r="AR51" s="63">
        <f t="shared" si="33"/>
        <v>0</v>
      </c>
      <c r="AS51" s="81">
        <f t="shared" si="35"/>
        <v>0</v>
      </c>
      <c r="AT51" s="212" t="str">
        <f t="shared" si="36"/>
        <v xml:space="preserve">  Other </v>
      </c>
      <c r="AV51" s="231">
        <f>SUM(AV44:AV49)</f>
        <v>0</v>
      </c>
      <c r="AW51" s="232" t="s">
        <v>146</v>
      </c>
      <c r="AX51" s="233"/>
      <c r="AY51" s="452"/>
      <c r="AZ51" s="452"/>
      <c r="BA51" s="452"/>
      <c r="BB51" s="452"/>
      <c r="BC51" s="452"/>
      <c r="BD51" s="453"/>
    </row>
    <row r="52" spans="1:105" ht="13.5" thickBot="1" x14ac:dyDescent="0.25">
      <c r="A52" s="152" t="s">
        <v>145</v>
      </c>
      <c r="B52" s="59"/>
      <c r="C52" s="134"/>
      <c r="D52" s="134"/>
      <c r="E52" s="134"/>
      <c r="F52" s="134"/>
      <c r="G52" s="155"/>
      <c r="H52" s="63">
        <f t="shared" si="34"/>
        <v>0</v>
      </c>
      <c r="I52" s="187"/>
      <c r="J52" s="155"/>
      <c r="K52" s="155"/>
      <c r="L52" s="157"/>
      <c r="M52" s="155"/>
      <c r="N52" s="63">
        <f t="shared" si="28"/>
        <v>0</v>
      </c>
      <c r="O52" s="155"/>
      <c r="P52" s="155"/>
      <c r="Q52" s="155"/>
      <c r="R52" s="157"/>
      <c r="S52" s="155"/>
      <c r="T52" s="63">
        <f t="shared" si="29"/>
        <v>0</v>
      </c>
      <c r="U52" s="155"/>
      <c r="V52" s="155"/>
      <c r="W52" s="155"/>
      <c r="X52" s="157"/>
      <c r="Y52" s="155"/>
      <c r="Z52" s="63">
        <f t="shared" si="30"/>
        <v>0</v>
      </c>
      <c r="AA52" s="155"/>
      <c r="AB52" s="155"/>
      <c r="AC52" s="155"/>
      <c r="AD52" s="157"/>
      <c r="AE52" s="155"/>
      <c r="AF52" s="63">
        <f t="shared" si="31"/>
        <v>0</v>
      </c>
      <c r="AG52" s="155"/>
      <c r="AH52" s="155"/>
      <c r="AI52" s="155"/>
      <c r="AJ52" s="157"/>
      <c r="AK52" s="155"/>
      <c r="AL52" s="63">
        <f t="shared" si="32"/>
        <v>0</v>
      </c>
      <c r="AM52" s="155"/>
      <c r="AN52" s="155"/>
      <c r="AO52" s="155"/>
      <c r="AP52" s="157"/>
      <c r="AQ52" s="155"/>
      <c r="AR52" s="63">
        <f t="shared" si="33"/>
        <v>0</v>
      </c>
      <c r="AS52" s="234">
        <f t="shared" si="35"/>
        <v>0</v>
      </c>
      <c r="AT52" s="212" t="str">
        <f t="shared" si="36"/>
        <v xml:space="preserve">  Other </v>
      </c>
      <c r="AV52" s="454" t="s">
        <v>147</v>
      </c>
      <c r="AW52" s="455"/>
      <c r="AX52" s="455"/>
      <c r="AY52" s="455"/>
      <c r="AZ52" s="455"/>
      <c r="BA52" s="455"/>
      <c r="BB52" s="455"/>
      <c r="BC52" s="455"/>
      <c r="BD52" s="456"/>
    </row>
    <row r="53" spans="1:105" ht="13.5" thickBot="1" x14ac:dyDescent="0.25">
      <c r="A53" s="176" t="s">
        <v>148</v>
      </c>
      <c r="B53" s="160"/>
      <c r="C53" s="160"/>
      <c r="D53" s="160"/>
      <c r="E53" s="160"/>
      <c r="F53" s="160"/>
      <c r="G53" s="159"/>
      <c r="H53" s="106">
        <f>SUM(H42:H52)</f>
        <v>0</v>
      </c>
      <c r="I53" s="178"/>
      <c r="J53" s="178"/>
      <c r="K53" s="178"/>
      <c r="L53" s="159"/>
      <c r="M53" s="159"/>
      <c r="N53" s="106">
        <f>SUM(N42:N52)</f>
        <v>0</v>
      </c>
      <c r="O53" s="178"/>
      <c r="P53" s="178"/>
      <c r="Q53" s="178"/>
      <c r="R53" s="159"/>
      <c r="S53" s="159"/>
      <c r="T53" s="106">
        <f>SUM(T42:T52)</f>
        <v>0</v>
      </c>
      <c r="U53" s="178"/>
      <c r="V53" s="178"/>
      <c r="W53" s="178"/>
      <c r="X53" s="159"/>
      <c r="Y53" s="159"/>
      <c r="Z53" s="106">
        <f>SUM(Z42:Z52)</f>
        <v>0</v>
      </c>
      <c r="AA53" s="178"/>
      <c r="AB53" s="178"/>
      <c r="AC53" s="178"/>
      <c r="AD53" s="159"/>
      <c r="AE53" s="159"/>
      <c r="AF53" s="106">
        <f>SUM(AF42:AF52)</f>
        <v>0</v>
      </c>
      <c r="AG53" s="178"/>
      <c r="AH53" s="178"/>
      <c r="AI53" s="178"/>
      <c r="AJ53" s="159"/>
      <c r="AK53" s="159"/>
      <c r="AL53" s="106">
        <f>SUM(AL42:AL52)</f>
        <v>0</v>
      </c>
      <c r="AM53" s="178"/>
      <c r="AN53" s="178"/>
      <c r="AO53" s="178"/>
      <c r="AP53" s="159"/>
      <c r="AQ53" s="159"/>
      <c r="AR53" s="106">
        <f>SUM(AR42:AR52)</f>
        <v>0</v>
      </c>
      <c r="AS53" s="79">
        <f>SUM(AS42:AS52)</f>
        <v>0</v>
      </c>
      <c r="AT53" s="126" t="s">
        <v>149</v>
      </c>
      <c r="AU53" s="3"/>
      <c r="AV53" s="454"/>
      <c r="AW53" s="455"/>
      <c r="AX53" s="455"/>
      <c r="AY53" s="455"/>
      <c r="AZ53" s="455"/>
      <c r="BA53" s="455"/>
      <c r="BB53" s="455"/>
      <c r="BC53" s="455"/>
      <c r="BD53" s="456"/>
    </row>
    <row r="54" spans="1:105" ht="17.25" customHeight="1" outlineLevel="1" x14ac:dyDescent="0.35">
      <c r="A54" s="188" t="s">
        <v>150</v>
      </c>
      <c r="B54" s="92" t="s">
        <v>151</v>
      </c>
      <c r="C54" s="92"/>
      <c r="D54" s="92"/>
      <c r="E54" s="92"/>
      <c r="F54" s="92"/>
      <c r="G54" s="95"/>
      <c r="H54" s="134"/>
      <c r="I54" s="134"/>
      <c r="J54" s="134"/>
      <c r="K54" s="134"/>
      <c r="L54" s="157"/>
      <c r="M54" s="155"/>
      <c r="N54" s="155"/>
      <c r="O54" s="155"/>
      <c r="P54" s="155"/>
      <c r="Q54" s="155"/>
      <c r="R54" s="157"/>
      <c r="S54" s="155"/>
      <c r="T54" s="155"/>
      <c r="U54" s="155"/>
      <c r="V54" s="155"/>
      <c r="W54" s="155"/>
      <c r="X54" s="157"/>
      <c r="Y54" s="155"/>
      <c r="Z54" s="155"/>
      <c r="AA54" s="155"/>
      <c r="AB54" s="155"/>
      <c r="AC54" s="155"/>
      <c r="AD54" s="157"/>
      <c r="AE54" s="155"/>
      <c r="AF54" s="155"/>
      <c r="AG54" s="155"/>
      <c r="AH54" s="155"/>
      <c r="AI54" s="155"/>
      <c r="AJ54" s="157"/>
      <c r="AK54" s="155"/>
      <c r="AL54" s="155"/>
      <c r="AM54" s="155"/>
      <c r="AN54" s="155"/>
      <c r="AO54" s="155"/>
      <c r="AP54" s="157"/>
      <c r="AQ54" s="155"/>
      <c r="AR54" s="155"/>
      <c r="AS54" s="180"/>
      <c r="AT54" s="128" t="s">
        <v>150</v>
      </c>
      <c r="AU54" s="12"/>
      <c r="AV54" s="454"/>
      <c r="AW54" s="455"/>
      <c r="AX54" s="455"/>
      <c r="AY54" s="455"/>
      <c r="AZ54" s="455"/>
      <c r="BA54" s="455"/>
      <c r="BB54" s="455"/>
      <c r="BC54" s="455"/>
      <c r="BD54" s="456"/>
    </row>
    <row r="55" spans="1:105" s="14" customFormat="1" outlineLevel="1" x14ac:dyDescent="0.2">
      <c r="A55" s="64" t="s">
        <v>152</v>
      </c>
      <c r="B55" s="135" t="s">
        <v>153</v>
      </c>
      <c r="C55" s="404" t="str">
        <f>$A$55</f>
        <v xml:space="preserve">  Subaward Name </v>
      </c>
      <c r="D55" s="405"/>
      <c r="E55" s="405"/>
      <c r="F55" s="405"/>
      <c r="G55" s="405"/>
      <c r="H55" s="185" t="s">
        <v>72</v>
      </c>
      <c r="I55" s="404" t="str">
        <f>$A$55</f>
        <v xml:space="preserve">  Subaward Name </v>
      </c>
      <c r="J55" s="405"/>
      <c r="K55" s="405"/>
      <c r="L55" s="405"/>
      <c r="M55" s="405"/>
      <c r="N55" s="185" t="s">
        <v>73</v>
      </c>
      <c r="O55" s="404" t="str">
        <f>$A$55</f>
        <v xml:space="preserve">  Subaward Name </v>
      </c>
      <c r="P55" s="405"/>
      <c r="Q55" s="405"/>
      <c r="R55" s="405"/>
      <c r="S55" s="405"/>
      <c r="T55" s="185" t="s">
        <v>74</v>
      </c>
      <c r="U55" s="404" t="str">
        <f>$A$55</f>
        <v xml:space="preserve">  Subaward Name </v>
      </c>
      <c r="V55" s="405"/>
      <c r="W55" s="405"/>
      <c r="X55" s="405"/>
      <c r="Y55" s="405"/>
      <c r="Z55" s="185" t="s">
        <v>75</v>
      </c>
      <c r="AA55" s="404" t="str">
        <f>$A$55</f>
        <v xml:space="preserve">  Subaward Name </v>
      </c>
      <c r="AB55" s="405"/>
      <c r="AC55" s="405"/>
      <c r="AD55" s="405"/>
      <c r="AE55" s="405"/>
      <c r="AF55" s="185" t="s">
        <v>76</v>
      </c>
      <c r="AG55" s="404" t="str">
        <f>$A$55</f>
        <v xml:space="preserve">  Subaward Name </v>
      </c>
      <c r="AH55" s="405"/>
      <c r="AI55" s="405"/>
      <c r="AJ55" s="405"/>
      <c r="AK55" s="405"/>
      <c r="AL55" s="185" t="s">
        <v>77</v>
      </c>
      <c r="AM55" s="404" t="str">
        <f>$A$55</f>
        <v xml:space="preserve">  Subaward Name </v>
      </c>
      <c r="AN55" s="405"/>
      <c r="AO55" s="405"/>
      <c r="AP55" s="405"/>
      <c r="AQ55" s="405"/>
      <c r="AR55" s="185" t="s">
        <v>78</v>
      </c>
      <c r="AS55" s="180"/>
      <c r="AT55" s="118" t="str">
        <f>A55</f>
        <v xml:space="preserve">  Subaward Name </v>
      </c>
      <c r="AU55" s="13"/>
      <c r="AV55" s="454"/>
      <c r="AW55" s="455"/>
      <c r="AX55" s="455"/>
      <c r="AY55" s="455"/>
      <c r="AZ55" s="455"/>
      <c r="BA55" s="455"/>
      <c r="BB55" s="455"/>
      <c r="BC55" s="455"/>
      <c r="BD55" s="456"/>
    </row>
    <row r="56" spans="1:105" s="14" customFormat="1" outlineLevel="1" x14ac:dyDescent="0.2">
      <c r="A56" s="189" t="s">
        <v>154</v>
      </c>
      <c r="B56" s="190"/>
      <c r="C56" s="191"/>
      <c r="D56" s="134"/>
      <c r="E56" s="134"/>
      <c r="F56" s="134"/>
      <c r="G56" s="192"/>
      <c r="H56" s="57"/>
      <c r="I56" s="155"/>
      <c r="J56" s="155"/>
      <c r="K56" s="155"/>
      <c r="L56" s="157"/>
      <c r="M56" s="155"/>
      <c r="N56" s="57"/>
      <c r="O56" s="155"/>
      <c r="P56" s="155"/>
      <c r="Q56" s="155"/>
      <c r="R56" s="157"/>
      <c r="S56" s="155"/>
      <c r="T56" s="57"/>
      <c r="U56" s="155"/>
      <c r="V56" s="155"/>
      <c r="W56" s="155"/>
      <c r="X56" s="157"/>
      <c r="Y56" s="155"/>
      <c r="Z56" s="57"/>
      <c r="AA56" s="155"/>
      <c r="AB56" s="155"/>
      <c r="AC56" s="155"/>
      <c r="AD56" s="157"/>
      <c r="AE56" s="155"/>
      <c r="AF56" s="57"/>
      <c r="AG56" s="155"/>
      <c r="AH56" s="155"/>
      <c r="AI56" s="155"/>
      <c r="AJ56" s="157"/>
      <c r="AK56" s="155"/>
      <c r="AL56" s="57"/>
      <c r="AM56" s="155"/>
      <c r="AN56" s="155"/>
      <c r="AO56" s="155"/>
      <c r="AP56" s="157"/>
      <c r="AQ56" s="155"/>
      <c r="AR56" s="57"/>
      <c r="AS56" s="82">
        <f>SUM(AF56,Z56,T56,N56,H56,AL56,AR56)</f>
        <v>0</v>
      </c>
      <c r="AT56" s="122" t="str">
        <f>A56</f>
        <v>Direct costs of Subcontractor</v>
      </c>
      <c r="AU56" s="13"/>
      <c r="AV56" s="454"/>
      <c r="AW56" s="455"/>
      <c r="AX56" s="455"/>
      <c r="AY56" s="455"/>
      <c r="AZ56" s="455"/>
      <c r="BA56" s="455"/>
      <c r="BB56" s="455"/>
      <c r="BC56" s="455"/>
      <c r="BD56" s="456"/>
    </row>
    <row r="57" spans="1:105" s="16" customFormat="1" ht="13.5" outlineLevel="1" thickBot="1" x14ac:dyDescent="0.25">
      <c r="A57" s="189" t="s">
        <v>155</v>
      </c>
      <c r="B57" s="190"/>
      <c r="C57" s="193"/>
      <c r="D57" s="135"/>
      <c r="E57" s="135"/>
      <c r="F57" s="134"/>
      <c r="G57" s="192"/>
      <c r="H57" s="59"/>
      <c r="I57" s="155"/>
      <c r="J57" s="155"/>
      <c r="K57" s="155"/>
      <c r="L57" s="157"/>
      <c r="M57" s="155"/>
      <c r="N57" s="59"/>
      <c r="O57" s="155"/>
      <c r="P57" s="155"/>
      <c r="Q57" s="155"/>
      <c r="R57" s="157"/>
      <c r="S57" s="155"/>
      <c r="T57" s="59"/>
      <c r="U57" s="155"/>
      <c r="V57" s="155"/>
      <c r="W57" s="155"/>
      <c r="X57" s="157"/>
      <c r="Y57" s="155"/>
      <c r="Z57" s="59"/>
      <c r="AA57" s="155"/>
      <c r="AB57" s="155"/>
      <c r="AC57" s="155"/>
      <c r="AD57" s="157"/>
      <c r="AE57" s="155"/>
      <c r="AF57" s="59"/>
      <c r="AG57" s="155"/>
      <c r="AH57" s="155"/>
      <c r="AI57" s="155"/>
      <c r="AJ57" s="157"/>
      <c r="AK57" s="155"/>
      <c r="AL57" s="59"/>
      <c r="AM57" s="155"/>
      <c r="AN57" s="155"/>
      <c r="AO57" s="155"/>
      <c r="AP57" s="157"/>
      <c r="AQ57" s="155"/>
      <c r="AR57" s="59"/>
      <c r="AS57" s="82">
        <f>SUM(AF57,Z57,T57,N57,H57,AL57,AR57)</f>
        <v>0</v>
      </c>
      <c r="AT57" s="122" t="str">
        <f>A57</f>
        <v>F&amp;A Costs of Subcontractor</v>
      </c>
      <c r="AU57" s="15"/>
      <c r="AV57" s="454"/>
      <c r="AW57" s="455"/>
      <c r="AX57" s="455"/>
      <c r="AY57" s="455"/>
      <c r="AZ57" s="455"/>
      <c r="BA57" s="455"/>
      <c r="BB57" s="455"/>
      <c r="BC57" s="455"/>
      <c r="BD57" s="456"/>
    </row>
    <row r="58" spans="1:105" s="16" customFormat="1" ht="13.5" outlineLevel="1" thickBot="1" x14ac:dyDescent="0.25">
      <c r="A58" s="194" t="s">
        <v>156</v>
      </c>
      <c r="B58" s="195"/>
      <c r="C58" s="436" t="s">
        <v>157</v>
      </c>
      <c r="D58" s="437"/>
      <c r="E58" s="437"/>
      <c r="F58" s="437"/>
      <c r="G58" s="111">
        <f>IF(H58&gt;=25000,25000,H58)</f>
        <v>0</v>
      </c>
      <c r="H58" s="112">
        <f>ROUND(SUM(H56:H57),0)</f>
        <v>0</v>
      </c>
      <c r="I58" s="406" t="s">
        <v>157</v>
      </c>
      <c r="J58" s="407"/>
      <c r="K58" s="407"/>
      <c r="L58" s="407"/>
      <c r="M58" s="113">
        <f>IF((N58+G58)&gt;=25000,25000-G58,N58)</f>
        <v>0</v>
      </c>
      <c r="N58" s="112">
        <f>ROUND(SUM(N56:N57),0)</f>
        <v>0</v>
      </c>
      <c r="O58" s="406" t="s">
        <v>157</v>
      </c>
      <c r="P58" s="407"/>
      <c r="Q58" s="407"/>
      <c r="R58" s="407"/>
      <c r="S58" s="113">
        <f>IF((T58+M58+G58)&gt;=25000,25000-M58-G58,T58)</f>
        <v>0</v>
      </c>
      <c r="T58" s="112">
        <f>ROUND(SUM(T56:T57),0)</f>
        <v>0</v>
      </c>
      <c r="U58" s="406" t="s">
        <v>157</v>
      </c>
      <c r="V58" s="407"/>
      <c r="W58" s="407"/>
      <c r="X58" s="407"/>
      <c r="Y58" s="113">
        <f>IF((Z58+S58+M58+G58)&gt;=25000,25000-S58-M58-G58,Z58)</f>
        <v>0</v>
      </c>
      <c r="Z58" s="112">
        <f>ROUND(SUM(Z56:Z57),0)</f>
        <v>0</v>
      </c>
      <c r="AA58" s="406" t="s">
        <v>157</v>
      </c>
      <c r="AB58" s="407"/>
      <c r="AC58" s="407"/>
      <c r="AD58" s="407"/>
      <c r="AE58" s="114">
        <f>IF((AF58+Y58+S58+M58+G58)&gt;=25000,25000-Y58-S58-M58-G58,AF58)</f>
        <v>0</v>
      </c>
      <c r="AF58" s="112">
        <f>ROUND(SUM(AF56:AF57),0)</f>
        <v>0</v>
      </c>
      <c r="AG58" s="406" t="s">
        <v>157</v>
      </c>
      <c r="AH58" s="407"/>
      <c r="AI58" s="407"/>
      <c r="AJ58" s="407"/>
      <c r="AK58" s="114">
        <f>IF((AL58+AE58+Y58+S58+M58+G58)&gt;=25000,25000-AE58-Y58-S58-M58-G58,AL58)</f>
        <v>0</v>
      </c>
      <c r="AL58" s="112">
        <f>ROUND(SUM(AL56:AL57),0)</f>
        <v>0</v>
      </c>
      <c r="AM58" s="406" t="s">
        <v>157</v>
      </c>
      <c r="AN58" s="407"/>
      <c r="AO58" s="407"/>
      <c r="AP58" s="407"/>
      <c r="AQ58" s="114">
        <f>IF((AR58+AK58+AE58+Y58+S58+M58+G58)&gt;=25000,25000-AK58-AE58-Y58-S58-M58-G58,AR58)</f>
        <v>0</v>
      </c>
      <c r="AR58" s="112">
        <f>ROUND(SUM(AR56:AR57),0)</f>
        <v>0</v>
      </c>
      <c r="AS58" s="83">
        <f>SUM(AS56:AS57)</f>
        <v>0</v>
      </c>
      <c r="AT58" s="118" t="s">
        <v>158</v>
      </c>
      <c r="AU58" s="15"/>
      <c r="AV58" s="454"/>
      <c r="AW58" s="455"/>
      <c r="AX58" s="455"/>
      <c r="AY58" s="455"/>
      <c r="AZ58" s="455"/>
      <c r="BA58" s="455"/>
      <c r="BB58" s="455"/>
      <c r="BC58" s="455"/>
      <c r="BD58" s="456"/>
    </row>
    <row r="59" spans="1:105" s="22" customFormat="1" ht="13.5" outlineLevel="1" thickBot="1" x14ac:dyDescent="0.25">
      <c r="A59" s="64" t="s">
        <v>152</v>
      </c>
      <c r="B59" s="135" t="s">
        <v>159</v>
      </c>
      <c r="C59" s="196"/>
      <c r="D59" s="196"/>
      <c r="E59" s="196"/>
      <c r="F59" s="196"/>
      <c r="G59" s="238" t="str">
        <f>A59</f>
        <v xml:space="preserve">  Subaward Name </v>
      </c>
      <c r="H59" s="185" t="s">
        <v>72</v>
      </c>
      <c r="I59" s="408" t="str">
        <f>A59</f>
        <v xml:space="preserve">  Subaward Name </v>
      </c>
      <c r="J59" s="409"/>
      <c r="K59" s="409"/>
      <c r="L59" s="409"/>
      <c r="M59" s="409"/>
      <c r="N59" s="185" t="s">
        <v>73</v>
      </c>
      <c r="O59" s="408" t="str">
        <f>A59</f>
        <v xml:space="preserve">  Subaward Name </v>
      </c>
      <c r="P59" s="409"/>
      <c r="Q59" s="409"/>
      <c r="R59" s="409"/>
      <c r="S59" s="409"/>
      <c r="T59" s="185" t="s">
        <v>74</v>
      </c>
      <c r="U59" s="408" t="str">
        <f>A59</f>
        <v xml:space="preserve">  Subaward Name </v>
      </c>
      <c r="V59" s="409"/>
      <c r="W59" s="409"/>
      <c r="X59" s="409"/>
      <c r="Y59" s="409"/>
      <c r="Z59" s="185" t="s">
        <v>75</v>
      </c>
      <c r="AA59" s="408" t="str">
        <f>A59</f>
        <v xml:space="preserve">  Subaward Name </v>
      </c>
      <c r="AB59" s="409"/>
      <c r="AC59" s="409"/>
      <c r="AD59" s="409"/>
      <c r="AE59" s="409"/>
      <c r="AF59" s="185" t="s">
        <v>76</v>
      </c>
      <c r="AG59" s="408" t="str">
        <f>A59</f>
        <v xml:space="preserve">  Subaward Name </v>
      </c>
      <c r="AH59" s="409"/>
      <c r="AI59" s="409"/>
      <c r="AJ59" s="409"/>
      <c r="AK59" s="409"/>
      <c r="AL59" s="185" t="s">
        <v>77</v>
      </c>
      <c r="AM59" s="408" t="str">
        <f>A59</f>
        <v xml:space="preserve">  Subaward Name </v>
      </c>
      <c r="AN59" s="409"/>
      <c r="AO59" s="409"/>
      <c r="AP59" s="409"/>
      <c r="AQ59" s="409"/>
      <c r="AR59" s="185" t="s">
        <v>78</v>
      </c>
      <c r="AS59" s="180"/>
      <c r="AT59" s="118" t="str">
        <f>A59</f>
        <v xml:space="preserve">  Subaward Name </v>
      </c>
      <c r="AU59" s="17"/>
      <c r="AV59" s="457"/>
      <c r="AW59" s="458"/>
      <c r="AX59" s="458"/>
      <c r="AY59" s="458"/>
      <c r="AZ59" s="458"/>
      <c r="BA59" s="458"/>
      <c r="BB59" s="458"/>
      <c r="BC59" s="458"/>
      <c r="BD59" s="459"/>
      <c r="BE59" s="21"/>
      <c r="BF59" s="21"/>
      <c r="BG59" s="21"/>
      <c r="BH59" s="21"/>
      <c r="BI59" s="21"/>
      <c r="BJ59" s="21"/>
      <c r="BK59" s="21"/>
      <c r="BL59" s="21"/>
      <c r="BM59" s="21"/>
      <c r="BN59" s="21"/>
      <c r="BO59" s="21"/>
      <c r="BP59" s="21"/>
      <c r="BQ59" s="21"/>
      <c r="BR59" s="21"/>
      <c r="BS59" s="21"/>
      <c r="BT59" s="21"/>
      <c r="BU59" s="21"/>
      <c r="BV59" s="21"/>
      <c r="BW59" s="21"/>
      <c r="BX59" s="21"/>
      <c r="BY59" s="21"/>
      <c r="BZ59" s="21"/>
      <c r="CA59" s="21"/>
      <c r="CB59" s="21"/>
      <c r="CC59" s="21"/>
      <c r="CD59" s="21"/>
      <c r="CE59" s="21"/>
      <c r="CF59" s="21"/>
      <c r="CG59" s="21"/>
      <c r="CH59" s="21"/>
      <c r="CI59" s="21"/>
      <c r="CJ59" s="21"/>
      <c r="CK59" s="21"/>
      <c r="CL59" s="21"/>
      <c r="CM59" s="21"/>
      <c r="CN59" s="21"/>
      <c r="CO59" s="21"/>
      <c r="CP59" s="21"/>
      <c r="CQ59" s="21"/>
      <c r="CR59" s="21"/>
      <c r="CS59" s="21"/>
      <c r="CT59" s="21"/>
      <c r="CU59" s="21"/>
      <c r="CV59" s="21"/>
      <c r="CW59" s="21"/>
      <c r="CX59" s="21"/>
      <c r="CY59" s="21"/>
      <c r="CZ59" s="21"/>
      <c r="DA59" s="21"/>
    </row>
    <row r="60" spans="1:105" s="21" customFormat="1" outlineLevel="1" x14ac:dyDescent="0.2">
      <c r="A60" s="189" t="s">
        <v>154</v>
      </c>
      <c r="B60" s="197"/>
      <c r="C60" s="193"/>
      <c r="D60" s="134"/>
      <c r="E60" s="134"/>
      <c r="F60" s="134"/>
      <c r="G60" s="192"/>
      <c r="H60" s="57"/>
      <c r="I60" s="155"/>
      <c r="J60" s="155"/>
      <c r="K60" s="155"/>
      <c r="L60" s="157"/>
      <c r="M60" s="155"/>
      <c r="N60" s="57"/>
      <c r="O60" s="155"/>
      <c r="P60" s="155"/>
      <c r="Q60" s="155"/>
      <c r="R60" s="157"/>
      <c r="S60" s="155"/>
      <c r="T60" s="57"/>
      <c r="U60" s="155"/>
      <c r="V60" s="155"/>
      <c r="W60" s="155"/>
      <c r="X60" s="157"/>
      <c r="Y60" s="155"/>
      <c r="Z60" s="57"/>
      <c r="AA60" s="155"/>
      <c r="AB60" s="155"/>
      <c r="AC60" s="155"/>
      <c r="AD60" s="157"/>
      <c r="AE60" s="155"/>
      <c r="AF60" s="57"/>
      <c r="AG60" s="155"/>
      <c r="AH60" s="155"/>
      <c r="AI60" s="155"/>
      <c r="AJ60" s="157"/>
      <c r="AK60" s="155"/>
      <c r="AL60" s="57"/>
      <c r="AM60" s="155"/>
      <c r="AN60" s="155"/>
      <c r="AO60" s="155"/>
      <c r="AP60" s="157"/>
      <c r="AQ60" s="155"/>
      <c r="AR60" s="57"/>
      <c r="AS60" s="82">
        <f>SUM(AF60,Z60,T60,N60,H60,AL60,AR60)</f>
        <v>0</v>
      </c>
      <c r="AT60" s="122" t="str">
        <f>A60</f>
        <v>Direct costs of Subcontractor</v>
      </c>
      <c r="AU60" s="17"/>
      <c r="AV60" s="23"/>
      <c r="AW60" s="39"/>
      <c r="AX60" s="18"/>
      <c r="AY60" s="19"/>
      <c r="AZ60" s="20"/>
    </row>
    <row r="61" spans="1:105" s="21" customFormat="1" ht="13.5" outlineLevel="1" thickBot="1" x14ac:dyDescent="0.25">
      <c r="A61" s="189" t="s">
        <v>155</v>
      </c>
      <c r="B61" s="197"/>
      <c r="C61" s="193"/>
      <c r="D61" s="134"/>
      <c r="E61" s="134"/>
      <c r="F61" s="134"/>
      <c r="G61" s="192"/>
      <c r="H61" s="59"/>
      <c r="I61" s="155"/>
      <c r="J61" s="155"/>
      <c r="K61" s="155"/>
      <c r="L61" s="157"/>
      <c r="M61" s="155"/>
      <c r="N61" s="59"/>
      <c r="O61" s="155"/>
      <c r="P61" s="155"/>
      <c r="Q61" s="155"/>
      <c r="R61" s="157"/>
      <c r="S61" s="155"/>
      <c r="T61" s="59"/>
      <c r="U61" s="155"/>
      <c r="V61" s="155"/>
      <c r="W61" s="155"/>
      <c r="X61" s="157"/>
      <c r="Y61" s="155"/>
      <c r="Z61" s="59"/>
      <c r="AA61" s="155"/>
      <c r="AB61" s="155"/>
      <c r="AC61" s="155"/>
      <c r="AD61" s="157"/>
      <c r="AE61" s="155"/>
      <c r="AF61" s="59"/>
      <c r="AG61" s="155"/>
      <c r="AH61" s="155"/>
      <c r="AI61" s="155"/>
      <c r="AJ61" s="157"/>
      <c r="AK61" s="155"/>
      <c r="AL61" s="59"/>
      <c r="AM61" s="155"/>
      <c r="AN61" s="155"/>
      <c r="AO61" s="155"/>
      <c r="AP61" s="157"/>
      <c r="AQ61" s="155"/>
      <c r="AR61" s="59"/>
      <c r="AS61" s="82">
        <f>SUM(AF61,Z61,T61,N61,H61,AL61,AR61)</f>
        <v>0</v>
      </c>
      <c r="AT61" s="122" t="str">
        <f>A61</f>
        <v>F&amp;A Costs of Subcontractor</v>
      </c>
      <c r="AU61" s="23"/>
      <c r="AV61" s="23"/>
      <c r="AW61" s="39"/>
      <c r="AX61" s="18"/>
      <c r="AY61" s="19"/>
      <c r="AZ61" s="20"/>
    </row>
    <row r="62" spans="1:105" s="21" customFormat="1" ht="13.5" outlineLevel="1" thickBot="1" x14ac:dyDescent="0.25">
      <c r="A62" s="194" t="s">
        <v>160</v>
      </c>
      <c r="B62" s="198"/>
      <c r="C62" s="436" t="s">
        <v>157</v>
      </c>
      <c r="D62" s="437"/>
      <c r="E62" s="437"/>
      <c r="F62" s="437"/>
      <c r="G62" s="111">
        <f>IF(H62&gt;=25000,25000,H62)</f>
        <v>0</v>
      </c>
      <c r="H62" s="112">
        <f>ROUND(SUM(H60:H61),0)</f>
        <v>0</v>
      </c>
      <c r="I62" s="406" t="s">
        <v>157</v>
      </c>
      <c r="J62" s="407"/>
      <c r="K62" s="407"/>
      <c r="L62" s="407"/>
      <c r="M62" s="113">
        <f>IF((N62+G62)&gt;=25000,25000-G62,N62)</f>
        <v>0</v>
      </c>
      <c r="N62" s="112">
        <f>ROUND(SUM(N60:N61),0)</f>
        <v>0</v>
      </c>
      <c r="O62" s="406" t="s">
        <v>157</v>
      </c>
      <c r="P62" s="407"/>
      <c r="Q62" s="407"/>
      <c r="R62" s="407"/>
      <c r="S62" s="113">
        <f>IF((T62+M62+G62)&gt;=25000,25000-M62-G62,T62)</f>
        <v>0</v>
      </c>
      <c r="T62" s="112">
        <f>ROUND(SUM(T60:T61),0)</f>
        <v>0</v>
      </c>
      <c r="U62" s="406" t="s">
        <v>157</v>
      </c>
      <c r="V62" s="407"/>
      <c r="W62" s="407"/>
      <c r="X62" s="407"/>
      <c r="Y62" s="113">
        <f>IF((Z62+S62+M62+G62)&gt;=25000,25000-S62-M62-G62,Z62)</f>
        <v>0</v>
      </c>
      <c r="Z62" s="112">
        <f>ROUND(SUM(Z60:Z61),0)</f>
        <v>0</v>
      </c>
      <c r="AA62" s="406" t="s">
        <v>157</v>
      </c>
      <c r="AB62" s="407"/>
      <c r="AC62" s="407"/>
      <c r="AD62" s="407"/>
      <c r="AE62" s="114">
        <f>IF((AF62+Y62+S62+M62+G62)&gt;=25000,25000-Y62-S62-M62-G62,AF62)</f>
        <v>0</v>
      </c>
      <c r="AF62" s="112">
        <f>ROUND(SUM(AF60:AF61),0)</f>
        <v>0</v>
      </c>
      <c r="AG62" s="406" t="s">
        <v>157</v>
      </c>
      <c r="AH62" s="407"/>
      <c r="AI62" s="407"/>
      <c r="AJ62" s="407"/>
      <c r="AK62" s="114">
        <f>IF((AL62+AE62+Y62+S62+M62)&gt;=25000,25000-AE62-Y62-S62-M62,AL62)</f>
        <v>0</v>
      </c>
      <c r="AL62" s="112">
        <f>ROUND(SUM(AL60:AL61),0)</f>
        <v>0</v>
      </c>
      <c r="AM62" s="406" t="s">
        <v>157</v>
      </c>
      <c r="AN62" s="407"/>
      <c r="AO62" s="407"/>
      <c r="AP62" s="407"/>
      <c r="AQ62" s="114">
        <f>IF((AR62+AK62+AE62+Y62+S62+M62+G62)&gt;=25000,25000-AK62-AE62-Y62-S62-M62-G62,AR62)</f>
        <v>0</v>
      </c>
      <c r="AR62" s="112">
        <f>ROUND(SUM(AR60:AR61),0)</f>
        <v>0</v>
      </c>
      <c r="AS62" s="83">
        <f>SUM(AS60:AS61)</f>
        <v>0</v>
      </c>
      <c r="AT62" s="118" t="s">
        <v>161</v>
      </c>
      <c r="AU62" s="23"/>
      <c r="AV62" s="23"/>
      <c r="AW62" s="39"/>
      <c r="AX62" s="18"/>
      <c r="AY62" s="19"/>
      <c r="AZ62" s="20"/>
    </row>
    <row r="63" spans="1:105" s="21" customFormat="1" outlineLevel="1" x14ac:dyDescent="0.2">
      <c r="A63" s="64" t="s">
        <v>152</v>
      </c>
      <c r="B63" s="135" t="s">
        <v>162</v>
      </c>
      <c r="C63" s="199"/>
      <c r="D63" s="199"/>
      <c r="E63" s="199"/>
      <c r="F63" s="199"/>
      <c r="G63" s="238" t="str">
        <f>A63</f>
        <v xml:space="preserve">  Subaward Name </v>
      </c>
      <c r="H63" s="185" t="s">
        <v>72</v>
      </c>
      <c r="I63" s="408" t="str">
        <f>A63</f>
        <v xml:space="preserve">  Subaward Name </v>
      </c>
      <c r="J63" s="409"/>
      <c r="K63" s="409"/>
      <c r="L63" s="409"/>
      <c r="M63" s="409"/>
      <c r="N63" s="185" t="s">
        <v>73</v>
      </c>
      <c r="O63" s="408" t="str">
        <f>A63</f>
        <v xml:space="preserve">  Subaward Name </v>
      </c>
      <c r="P63" s="409"/>
      <c r="Q63" s="409"/>
      <c r="R63" s="409"/>
      <c r="S63" s="409"/>
      <c r="T63" s="185" t="s">
        <v>74</v>
      </c>
      <c r="U63" s="408" t="str">
        <f>A63</f>
        <v xml:space="preserve">  Subaward Name </v>
      </c>
      <c r="V63" s="409"/>
      <c r="W63" s="409"/>
      <c r="X63" s="409"/>
      <c r="Y63" s="409"/>
      <c r="Z63" s="185" t="s">
        <v>75</v>
      </c>
      <c r="AA63" s="408" t="str">
        <f>A63</f>
        <v xml:space="preserve">  Subaward Name </v>
      </c>
      <c r="AB63" s="409"/>
      <c r="AC63" s="409"/>
      <c r="AD63" s="409"/>
      <c r="AE63" s="409"/>
      <c r="AF63" s="185" t="s">
        <v>76</v>
      </c>
      <c r="AG63" s="408" t="str">
        <f>A63</f>
        <v xml:space="preserve">  Subaward Name </v>
      </c>
      <c r="AH63" s="409"/>
      <c r="AI63" s="409"/>
      <c r="AJ63" s="409"/>
      <c r="AK63" s="409"/>
      <c r="AL63" s="185" t="s">
        <v>77</v>
      </c>
      <c r="AM63" s="408" t="str">
        <f>A63</f>
        <v xml:space="preserve">  Subaward Name </v>
      </c>
      <c r="AN63" s="409"/>
      <c r="AO63" s="409"/>
      <c r="AP63" s="409"/>
      <c r="AQ63" s="409"/>
      <c r="AR63" s="185" t="s">
        <v>78</v>
      </c>
      <c r="AS63" s="180"/>
      <c r="AT63" s="118" t="str">
        <f>A63</f>
        <v xml:space="preserve">  Subaward Name </v>
      </c>
      <c r="AU63" s="23"/>
      <c r="AV63" s="23"/>
      <c r="AW63" s="39"/>
      <c r="AX63" s="18"/>
      <c r="AY63" s="19"/>
      <c r="AZ63" s="20"/>
    </row>
    <row r="64" spans="1:105" s="21" customFormat="1" outlineLevel="1" x14ac:dyDescent="0.2">
      <c r="A64" s="189" t="s">
        <v>154</v>
      </c>
      <c r="B64" s="200"/>
      <c r="C64" s="193"/>
      <c r="D64" s="134"/>
      <c r="E64" s="134"/>
      <c r="F64" s="134"/>
      <c r="G64" s="192"/>
      <c r="H64" s="57"/>
      <c r="I64" s="155"/>
      <c r="J64" s="155"/>
      <c r="K64" s="155"/>
      <c r="L64" s="157"/>
      <c r="M64" s="155"/>
      <c r="N64" s="57"/>
      <c r="O64" s="155"/>
      <c r="P64" s="155"/>
      <c r="Q64" s="155"/>
      <c r="R64" s="157"/>
      <c r="S64" s="155"/>
      <c r="T64" s="57"/>
      <c r="U64" s="155"/>
      <c r="V64" s="155"/>
      <c r="W64" s="155"/>
      <c r="X64" s="157"/>
      <c r="Y64" s="155"/>
      <c r="Z64" s="57"/>
      <c r="AA64" s="155"/>
      <c r="AB64" s="155"/>
      <c r="AC64" s="155"/>
      <c r="AD64" s="157"/>
      <c r="AE64" s="155"/>
      <c r="AF64" s="57"/>
      <c r="AG64" s="155"/>
      <c r="AH64" s="155"/>
      <c r="AI64" s="155"/>
      <c r="AJ64" s="157"/>
      <c r="AK64" s="155"/>
      <c r="AL64" s="57"/>
      <c r="AM64" s="155"/>
      <c r="AN64" s="155"/>
      <c r="AO64" s="155"/>
      <c r="AP64" s="157"/>
      <c r="AQ64" s="155"/>
      <c r="AR64" s="57"/>
      <c r="AS64" s="82">
        <f>SUM(AF64,Z64,T64,N64,H64,AL64,AR64)</f>
        <v>0</v>
      </c>
      <c r="AT64" s="122" t="str">
        <f>A64</f>
        <v>Direct costs of Subcontractor</v>
      </c>
      <c r="AU64" s="23"/>
      <c r="AV64" s="23"/>
      <c r="AW64" s="39"/>
      <c r="AX64" s="18"/>
      <c r="AY64" s="19"/>
      <c r="AZ64" s="20"/>
    </row>
    <row r="65" spans="1:53" s="21" customFormat="1" ht="13.5" outlineLevel="1" thickBot="1" x14ac:dyDescent="0.25">
      <c r="A65" s="189" t="s">
        <v>155</v>
      </c>
      <c r="B65" s="200"/>
      <c r="C65" s="193"/>
      <c r="D65" s="135"/>
      <c r="E65" s="135"/>
      <c r="F65" s="134"/>
      <c r="G65" s="192"/>
      <c r="H65" s="59"/>
      <c r="I65" s="155"/>
      <c r="J65" s="155"/>
      <c r="K65" s="155"/>
      <c r="L65" s="157"/>
      <c r="M65" s="155"/>
      <c r="N65" s="59"/>
      <c r="O65" s="155"/>
      <c r="P65" s="155"/>
      <c r="Q65" s="155"/>
      <c r="R65" s="157"/>
      <c r="S65" s="155"/>
      <c r="T65" s="59"/>
      <c r="U65" s="155"/>
      <c r="V65" s="155"/>
      <c r="W65" s="155"/>
      <c r="X65" s="157"/>
      <c r="Y65" s="155"/>
      <c r="Z65" s="59"/>
      <c r="AA65" s="155"/>
      <c r="AB65" s="155"/>
      <c r="AC65" s="155"/>
      <c r="AD65" s="157"/>
      <c r="AE65" s="155"/>
      <c r="AF65" s="59"/>
      <c r="AG65" s="155"/>
      <c r="AH65" s="155"/>
      <c r="AI65" s="155"/>
      <c r="AJ65" s="157"/>
      <c r="AK65" s="155"/>
      <c r="AL65" s="59"/>
      <c r="AM65" s="155"/>
      <c r="AN65" s="155"/>
      <c r="AO65" s="155"/>
      <c r="AP65" s="157"/>
      <c r="AQ65" s="155"/>
      <c r="AR65" s="59"/>
      <c r="AS65" s="82">
        <f>SUM(AF65,Z65,T65,N65,H65,AL65,AR65)</f>
        <v>0</v>
      </c>
      <c r="AT65" s="122" t="str">
        <f>A65</f>
        <v>F&amp;A Costs of Subcontractor</v>
      </c>
      <c r="AU65" s="23"/>
      <c r="AV65" s="23"/>
      <c r="AW65" s="39"/>
      <c r="AX65" s="18"/>
      <c r="AY65" s="19"/>
      <c r="AZ65" s="20"/>
    </row>
    <row r="66" spans="1:53" s="21" customFormat="1" ht="13.5" outlineLevel="1" thickBot="1" x14ac:dyDescent="0.25">
      <c r="A66" s="194" t="s">
        <v>163</v>
      </c>
      <c r="B66" s="201"/>
      <c r="C66" s="436" t="s">
        <v>157</v>
      </c>
      <c r="D66" s="437"/>
      <c r="E66" s="437"/>
      <c r="F66" s="437"/>
      <c r="G66" s="111">
        <f>IF(H66&gt;=25000,25000,H66)</f>
        <v>0</v>
      </c>
      <c r="H66" s="112">
        <f>ROUND(SUM(H64:H65),0)</f>
        <v>0</v>
      </c>
      <c r="I66" s="406" t="s">
        <v>157</v>
      </c>
      <c r="J66" s="407"/>
      <c r="K66" s="407"/>
      <c r="L66" s="407"/>
      <c r="M66" s="113">
        <f>IF((N66+G66)&gt;=25000,25000-G66,N66)</f>
        <v>0</v>
      </c>
      <c r="N66" s="112">
        <f>ROUND(SUM(N64:N65),0)</f>
        <v>0</v>
      </c>
      <c r="O66" s="406" t="s">
        <v>157</v>
      </c>
      <c r="P66" s="407"/>
      <c r="Q66" s="407"/>
      <c r="R66" s="407"/>
      <c r="S66" s="113">
        <f>IF((T66+M66+G66)&gt;=25000,25000-M66-G66,T66)</f>
        <v>0</v>
      </c>
      <c r="T66" s="112">
        <f>ROUND(SUM(T64:T65),0)</f>
        <v>0</v>
      </c>
      <c r="U66" s="406" t="s">
        <v>157</v>
      </c>
      <c r="V66" s="407"/>
      <c r="W66" s="407"/>
      <c r="X66" s="407"/>
      <c r="Y66" s="113">
        <f>IF((Z66+S66+M66+G66)&gt;=25000,25000-S66-M66-G66,Z66)</f>
        <v>0</v>
      </c>
      <c r="Z66" s="112">
        <f>ROUND(SUM(Z64:Z65),0)</f>
        <v>0</v>
      </c>
      <c r="AA66" s="406" t="s">
        <v>157</v>
      </c>
      <c r="AB66" s="407"/>
      <c r="AC66" s="407"/>
      <c r="AD66" s="407"/>
      <c r="AE66" s="114">
        <f>IF((AF66+Y66+S66+M66+G66)&gt;=25000,25000-Y66-S66-M66-G66,AF66)</f>
        <v>0</v>
      </c>
      <c r="AF66" s="112">
        <f>ROUND(SUM(AF64:AF65),0)</f>
        <v>0</v>
      </c>
      <c r="AG66" s="406" t="s">
        <v>157</v>
      </c>
      <c r="AH66" s="407"/>
      <c r="AI66" s="407"/>
      <c r="AJ66" s="407"/>
      <c r="AK66" s="114">
        <f>IF((AL66+AE66+Y66+S66+M66)&gt;=25000,25000-AE66-Y66-S66-M66,AL66)</f>
        <v>0</v>
      </c>
      <c r="AL66" s="112">
        <f>ROUND(SUM(AL64:AL65),0)</f>
        <v>0</v>
      </c>
      <c r="AM66" s="406" t="s">
        <v>157</v>
      </c>
      <c r="AN66" s="407"/>
      <c r="AO66" s="407"/>
      <c r="AP66" s="407"/>
      <c r="AQ66" s="114">
        <f>IF((AR66+AK66+AE66+Y66+S66+M66+G66)&gt;=25000,25000-AK66-AE66-Y66-S66-M66-G66,AR66)</f>
        <v>0</v>
      </c>
      <c r="AR66" s="112">
        <f>ROUND(SUM(AR64:AR65),0)</f>
        <v>0</v>
      </c>
      <c r="AS66" s="83">
        <f>SUM(AS64:AS65)</f>
        <v>0</v>
      </c>
      <c r="AT66" s="118" t="s">
        <v>164</v>
      </c>
      <c r="AU66" s="23"/>
      <c r="AV66" s="23"/>
      <c r="AW66" s="39"/>
      <c r="AX66" s="18"/>
      <c r="AY66" s="19"/>
      <c r="AZ66" s="20"/>
    </row>
    <row r="67" spans="1:53" s="21" customFormat="1" outlineLevel="1" x14ac:dyDescent="0.2">
      <c r="A67" s="64" t="s">
        <v>152</v>
      </c>
      <c r="B67" s="135" t="s">
        <v>165</v>
      </c>
      <c r="C67" s="199"/>
      <c r="D67" s="199"/>
      <c r="E67" s="199"/>
      <c r="F67" s="199"/>
      <c r="G67" s="238" t="str">
        <f>A67</f>
        <v xml:space="preserve">  Subaward Name </v>
      </c>
      <c r="H67" s="185" t="s">
        <v>72</v>
      </c>
      <c r="I67" s="408" t="str">
        <f>A67</f>
        <v xml:space="preserve">  Subaward Name </v>
      </c>
      <c r="J67" s="409"/>
      <c r="K67" s="409"/>
      <c r="L67" s="409"/>
      <c r="M67" s="409"/>
      <c r="N67" s="185" t="s">
        <v>73</v>
      </c>
      <c r="O67" s="408" t="str">
        <f>A67</f>
        <v xml:space="preserve">  Subaward Name </v>
      </c>
      <c r="P67" s="409"/>
      <c r="Q67" s="409"/>
      <c r="R67" s="409"/>
      <c r="S67" s="409"/>
      <c r="T67" s="185" t="s">
        <v>74</v>
      </c>
      <c r="U67" s="408" t="str">
        <f>A67</f>
        <v xml:space="preserve">  Subaward Name </v>
      </c>
      <c r="V67" s="409"/>
      <c r="W67" s="409"/>
      <c r="X67" s="409"/>
      <c r="Y67" s="409"/>
      <c r="Z67" s="185" t="s">
        <v>75</v>
      </c>
      <c r="AA67" s="408" t="str">
        <f>A67</f>
        <v xml:space="preserve">  Subaward Name </v>
      </c>
      <c r="AB67" s="409"/>
      <c r="AC67" s="409"/>
      <c r="AD67" s="409"/>
      <c r="AE67" s="409"/>
      <c r="AF67" s="185" t="s">
        <v>76</v>
      </c>
      <c r="AG67" s="408" t="str">
        <f>A67</f>
        <v xml:space="preserve">  Subaward Name </v>
      </c>
      <c r="AH67" s="409"/>
      <c r="AI67" s="409"/>
      <c r="AJ67" s="409"/>
      <c r="AK67" s="409"/>
      <c r="AL67" s="185" t="s">
        <v>77</v>
      </c>
      <c r="AM67" s="408" t="str">
        <f>A67</f>
        <v xml:space="preserve">  Subaward Name </v>
      </c>
      <c r="AN67" s="409"/>
      <c r="AO67" s="409"/>
      <c r="AP67" s="409"/>
      <c r="AQ67" s="409"/>
      <c r="AR67" s="185" t="s">
        <v>78</v>
      </c>
      <c r="AS67" s="180"/>
      <c r="AT67" s="118" t="str">
        <f>A67</f>
        <v xml:space="preserve">  Subaward Name </v>
      </c>
      <c r="AU67" s="23"/>
      <c r="AV67" s="23"/>
      <c r="AW67" s="39"/>
      <c r="AX67" s="18"/>
      <c r="AY67" s="19"/>
      <c r="AZ67" s="20"/>
    </row>
    <row r="68" spans="1:53" s="21" customFormat="1" outlineLevel="1" x14ac:dyDescent="0.2">
      <c r="A68" s="189" t="s">
        <v>154</v>
      </c>
      <c r="B68" s="200"/>
      <c r="C68" s="193"/>
      <c r="D68" s="134"/>
      <c r="E68" s="134"/>
      <c r="F68" s="134"/>
      <c r="G68" s="192"/>
      <c r="H68" s="57"/>
      <c r="I68" s="155"/>
      <c r="J68" s="155"/>
      <c r="K68" s="155"/>
      <c r="L68" s="157"/>
      <c r="M68" s="155"/>
      <c r="N68" s="57"/>
      <c r="O68" s="155"/>
      <c r="P68" s="155"/>
      <c r="Q68" s="155"/>
      <c r="R68" s="157"/>
      <c r="S68" s="155"/>
      <c r="T68" s="57"/>
      <c r="U68" s="155"/>
      <c r="V68" s="155"/>
      <c r="W68" s="155"/>
      <c r="X68" s="157"/>
      <c r="Y68" s="155"/>
      <c r="Z68" s="57"/>
      <c r="AA68" s="155"/>
      <c r="AB68" s="155"/>
      <c r="AC68" s="155"/>
      <c r="AD68" s="157"/>
      <c r="AE68" s="155"/>
      <c r="AF68" s="57"/>
      <c r="AG68" s="155"/>
      <c r="AH68" s="155"/>
      <c r="AI68" s="155"/>
      <c r="AJ68" s="157"/>
      <c r="AK68" s="155"/>
      <c r="AL68" s="57"/>
      <c r="AM68" s="155"/>
      <c r="AN68" s="155"/>
      <c r="AO68" s="155"/>
      <c r="AP68" s="157"/>
      <c r="AQ68" s="155"/>
      <c r="AR68" s="57"/>
      <c r="AS68" s="82">
        <f>SUM(AF68,Z68,T68,N68,H68,AL68,AR68)</f>
        <v>0</v>
      </c>
      <c r="AT68" s="122" t="str">
        <f>A68</f>
        <v>Direct costs of Subcontractor</v>
      </c>
      <c r="AU68" s="23"/>
      <c r="AV68" s="23"/>
      <c r="AW68" s="39"/>
      <c r="AX68" s="18"/>
      <c r="AY68" s="19"/>
      <c r="AZ68" s="20"/>
    </row>
    <row r="69" spans="1:53" s="21" customFormat="1" ht="13.5" outlineLevel="1" thickBot="1" x14ac:dyDescent="0.25">
      <c r="A69" s="189" t="s">
        <v>155</v>
      </c>
      <c r="B69" s="200"/>
      <c r="C69" s="193"/>
      <c r="D69" s="135"/>
      <c r="E69" s="135"/>
      <c r="F69" s="134"/>
      <c r="G69" s="192"/>
      <c r="H69" s="59"/>
      <c r="I69" s="155"/>
      <c r="J69" s="155"/>
      <c r="K69" s="155"/>
      <c r="L69" s="157"/>
      <c r="M69" s="155"/>
      <c r="N69" s="59"/>
      <c r="O69" s="155"/>
      <c r="P69" s="155"/>
      <c r="Q69" s="155"/>
      <c r="R69" s="157"/>
      <c r="S69" s="155"/>
      <c r="T69" s="59"/>
      <c r="U69" s="155"/>
      <c r="V69" s="155"/>
      <c r="W69" s="155"/>
      <c r="X69" s="157"/>
      <c r="Y69" s="155"/>
      <c r="Z69" s="59"/>
      <c r="AA69" s="155"/>
      <c r="AB69" s="155"/>
      <c r="AC69" s="155"/>
      <c r="AD69" s="157"/>
      <c r="AE69" s="155"/>
      <c r="AF69" s="59"/>
      <c r="AG69" s="155"/>
      <c r="AH69" s="155"/>
      <c r="AI69" s="155"/>
      <c r="AJ69" s="157"/>
      <c r="AK69" s="155"/>
      <c r="AL69" s="59"/>
      <c r="AM69" s="155"/>
      <c r="AN69" s="155"/>
      <c r="AO69" s="155"/>
      <c r="AP69" s="157"/>
      <c r="AQ69" s="155"/>
      <c r="AR69" s="59"/>
      <c r="AS69" s="82">
        <f>SUM(AF69,Z69,T69,N69,H69,AL69,AR69)</f>
        <v>0</v>
      </c>
      <c r="AT69" s="122" t="str">
        <f>A69</f>
        <v>F&amp;A Costs of Subcontractor</v>
      </c>
      <c r="AU69" s="23"/>
      <c r="AV69" s="23"/>
      <c r="AW69" s="39"/>
      <c r="AX69" s="18"/>
      <c r="AY69" s="19"/>
      <c r="AZ69" s="20"/>
    </row>
    <row r="70" spans="1:53" s="21" customFormat="1" ht="13.5" outlineLevel="1" thickBot="1" x14ac:dyDescent="0.25">
      <c r="A70" s="194" t="s">
        <v>166</v>
      </c>
      <c r="B70" s="201"/>
      <c r="C70" s="436" t="s">
        <v>157</v>
      </c>
      <c r="D70" s="437"/>
      <c r="E70" s="437"/>
      <c r="F70" s="437"/>
      <c r="G70" s="111">
        <f>IF(H70&gt;=25000,25000,H70)</f>
        <v>0</v>
      </c>
      <c r="H70" s="112">
        <f>ROUND(SUM(H68:H69),0)</f>
        <v>0</v>
      </c>
      <c r="I70" s="406" t="s">
        <v>157</v>
      </c>
      <c r="J70" s="407"/>
      <c r="K70" s="407"/>
      <c r="L70" s="407"/>
      <c r="M70" s="113">
        <f>IF((N70+G70)&gt;=25000,25000-G70,N70)</f>
        <v>0</v>
      </c>
      <c r="N70" s="112">
        <f>ROUND(SUM(N68:N69),0)</f>
        <v>0</v>
      </c>
      <c r="O70" s="406" t="s">
        <v>157</v>
      </c>
      <c r="P70" s="407"/>
      <c r="Q70" s="407"/>
      <c r="R70" s="407"/>
      <c r="S70" s="113">
        <f>IF((T70+M70+G70)&gt;=25000,25000-M70-G70,T70)</f>
        <v>0</v>
      </c>
      <c r="T70" s="112">
        <f>ROUND(SUM(T68:T69),0)</f>
        <v>0</v>
      </c>
      <c r="U70" s="406" t="s">
        <v>157</v>
      </c>
      <c r="V70" s="407"/>
      <c r="W70" s="407"/>
      <c r="X70" s="407"/>
      <c r="Y70" s="113">
        <f>IF((Z70+S70+M70+G70)&gt;=25000,25000-S70-M70-G70,Z70)</f>
        <v>0</v>
      </c>
      <c r="Z70" s="112">
        <f>ROUND(SUM(Z68:Z69),0)</f>
        <v>0</v>
      </c>
      <c r="AA70" s="406" t="s">
        <v>157</v>
      </c>
      <c r="AB70" s="407"/>
      <c r="AC70" s="407"/>
      <c r="AD70" s="407"/>
      <c r="AE70" s="114">
        <f>IF((AF70+Y70+S70+M70+G70)&gt;=25000,25000-Y70-S70-M70-G70,AF70)</f>
        <v>0</v>
      </c>
      <c r="AF70" s="112">
        <f>ROUND(SUM(AF68:AF69),0)</f>
        <v>0</v>
      </c>
      <c r="AG70" s="406" t="s">
        <v>157</v>
      </c>
      <c r="AH70" s="407"/>
      <c r="AI70" s="407"/>
      <c r="AJ70" s="407"/>
      <c r="AK70" s="114">
        <f>IF((AL70+AE70+Y70+S70+M70)&gt;=25000,25000-AE70-Y70-S70-M70,AL70)</f>
        <v>0</v>
      </c>
      <c r="AL70" s="112">
        <f>ROUND(SUM(AL68:AL69),0)</f>
        <v>0</v>
      </c>
      <c r="AM70" s="406" t="s">
        <v>157</v>
      </c>
      <c r="AN70" s="407"/>
      <c r="AO70" s="407"/>
      <c r="AP70" s="407"/>
      <c r="AQ70" s="114">
        <f>IF((AR70+AK70+AE70+Y70+S70+M70+G70)&gt;=25000,25000-AK70-AE70-Y70-S70-M70-G70,AR70)</f>
        <v>0</v>
      </c>
      <c r="AR70" s="112">
        <f>ROUND(SUM(AR68:AR69),0)</f>
        <v>0</v>
      </c>
      <c r="AS70" s="83">
        <f>SUM(AS68:AS69)</f>
        <v>0</v>
      </c>
      <c r="AT70" s="118" t="s">
        <v>167</v>
      </c>
      <c r="AU70" s="23"/>
      <c r="AV70" s="40"/>
      <c r="AW70" s="40"/>
      <c r="AX70" s="41"/>
      <c r="AY70" s="24"/>
      <c r="AZ70" s="25"/>
      <c r="BA70" s="26"/>
    </row>
    <row r="71" spans="1:53" s="21" customFormat="1" outlineLevel="1" x14ac:dyDescent="0.2">
      <c r="A71" s="64" t="s">
        <v>152</v>
      </c>
      <c r="B71" s="135" t="s">
        <v>168</v>
      </c>
      <c r="C71" s="199"/>
      <c r="D71" s="199"/>
      <c r="E71" s="199"/>
      <c r="F71" s="199"/>
      <c r="G71" s="238" t="str">
        <f>A71</f>
        <v xml:space="preserve">  Subaward Name </v>
      </c>
      <c r="H71" s="185" t="s">
        <v>72</v>
      </c>
      <c r="I71" s="408" t="str">
        <f>A71</f>
        <v xml:space="preserve">  Subaward Name </v>
      </c>
      <c r="J71" s="409"/>
      <c r="K71" s="409"/>
      <c r="L71" s="409"/>
      <c r="M71" s="409"/>
      <c r="N71" s="185" t="s">
        <v>73</v>
      </c>
      <c r="O71" s="408" t="str">
        <f>A71</f>
        <v xml:space="preserve">  Subaward Name </v>
      </c>
      <c r="P71" s="409"/>
      <c r="Q71" s="409"/>
      <c r="R71" s="409"/>
      <c r="S71" s="409"/>
      <c r="T71" s="185" t="s">
        <v>74</v>
      </c>
      <c r="U71" s="408" t="str">
        <f>A71</f>
        <v xml:space="preserve">  Subaward Name </v>
      </c>
      <c r="V71" s="409"/>
      <c r="W71" s="409"/>
      <c r="X71" s="409"/>
      <c r="Y71" s="409"/>
      <c r="Z71" s="185" t="s">
        <v>75</v>
      </c>
      <c r="AA71" s="408" t="str">
        <f>A71</f>
        <v xml:space="preserve">  Subaward Name </v>
      </c>
      <c r="AB71" s="409"/>
      <c r="AC71" s="409"/>
      <c r="AD71" s="409"/>
      <c r="AE71" s="409"/>
      <c r="AF71" s="185" t="s">
        <v>76</v>
      </c>
      <c r="AG71" s="408" t="str">
        <f>A71</f>
        <v xml:space="preserve">  Subaward Name </v>
      </c>
      <c r="AH71" s="409"/>
      <c r="AI71" s="409"/>
      <c r="AJ71" s="409"/>
      <c r="AK71" s="409"/>
      <c r="AL71" s="185" t="s">
        <v>77</v>
      </c>
      <c r="AM71" s="408" t="str">
        <f>A71</f>
        <v xml:space="preserve">  Subaward Name </v>
      </c>
      <c r="AN71" s="409"/>
      <c r="AO71" s="409"/>
      <c r="AP71" s="409"/>
      <c r="AQ71" s="409"/>
      <c r="AR71" s="185" t="s">
        <v>78</v>
      </c>
      <c r="AS71" s="180"/>
      <c r="AT71" s="118" t="str">
        <f>A71</f>
        <v xml:space="preserve">  Subaward Name </v>
      </c>
      <c r="AU71" s="23"/>
      <c r="AV71" s="23"/>
      <c r="AW71" s="39"/>
      <c r="AX71" s="18"/>
      <c r="AY71" s="19"/>
      <c r="AZ71" s="20"/>
    </row>
    <row r="72" spans="1:53" s="21" customFormat="1" outlineLevel="1" x14ac:dyDescent="0.2">
      <c r="A72" s="189" t="s">
        <v>154</v>
      </c>
      <c r="B72" s="200"/>
      <c r="C72" s="193"/>
      <c r="D72" s="134"/>
      <c r="E72" s="134"/>
      <c r="F72" s="134"/>
      <c r="G72" s="192"/>
      <c r="H72" s="57"/>
      <c r="I72" s="155"/>
      <c r="J72" s="155"/>
      <c r="K72" s="155"/>
      <c r="L72" s="157"/>
      <c r="M72" s="155"/>
      <c r="N72" s="57"/>
      <c r="O72" s="155"/>
      <c r="P72" s="155"/>
      <c r="Q72" s="155"/>
      <c r="R72" s="157"/>
      <c r="S72" s="155"/>
      <c r="T72" s="57"/>
      <c r="U72" s="155"/>
      <c r="V72" s="155"/>
      <c r="W72" s="155"/>
      <c r="X72" s="157"/>
      <c r="Y72" s="155"/>
      <c r="Z72" s="57"/>
      <c r="AA72" s="155"/>
      <c r="AB72" s="155"/>
      <c r="AC72" s="155"/>
      <c r="AD72" s="157"/>
      <c r="AE72" s="155"/>
      <c r="AF72" s="57"/>
      <c r="AG72" s="155"/>
      <c r="AH72" s="155"/>
      <c r="AI72" s="155"/>
      <c r="AJ72" s="157"/>
      <c r="AK72" s="155"/>
      <c r="AL72" s="57"/>
      <c r="AM72" s="155"/>
      <c r="AN72" s="155"/>
      <c r="AO72" s="155"/>
      <c r="AP72" s="157"/>
      <c r="AQ72" s="155"/>
      <c r="AR72" s="57"/>
      <c r="AS72" s="82">
        <f>SUM(AF72,Z72,T72,N72,H72,AL72,AR72)</f>
        <v>0</v>
      </c>
      <c r="AT72" s="122" t="str">
        <f>A72</f>
        <v>Direct costs of Subcontractor</v>
      </c>
      <c r="AU72" s="23"/>
      <c r="AV72" s="23"/>
      <c r="AW72" s="39"/>
      <c r="AX72" s="18"/>
      <c r="AY72" s="19"/>
      <c r="AZ72" s="20"/>
    </row>
    <row r="73" spans="1:53" s="21" customFormat="1" ht="13.5" outlineLevel="1" thickBot="1" x14ac:dyDescent="0.25">
      <c r="A73" s="189" t="s">
        <v>155</v>
      </c>
      <c r="B73" s="200"/>
      <c r="C73" s="193"/>
      <c r="D73" s="135"/>
      <c r="E73" s="135"/>
      <c r="F73" s="134"/>
      <c r="G73" s="192"/>
      <c r="H73" s="59"/>
      <c r="I73" s="155"/>
      <c r="J73" s="155"/>
      <c r="K73" s="155"/>
      <c r="L73" s="157"/>
      <c r="M73" s="155"/>
      <c r="N73" s="59"/>
      <c r="O73" s="155"/>
      <c r="P73" s="155"/>
      <c r="Q73" s="155"/>
      <c r="R73" s="157"/>
      <c r="S73" s="155"/>
      <c r="T73" s="59"/>
      <c r="U73" s="155"/>
      <c r="V73" s="155"/>
      <c r="W73" s="155"/>
      <c r="X73" s="157"/>
      <c r="Y73" s="155"/>
      <c r="Z73" s="59"/>
      <c r="AA73" s="155"/>
      <c r="AB73" s="155"/>
      <c r="AC73" s="155"/>
      <c r="AD73" s="157"/>
      <c r="AE73" s="155"/>
      <c r="AF73" s="59"/>
      <c r="AG73" s="155"/>
      <c r="AH73" s="155"/>
      <c r="AI73" s="155"/>
      <c r="AJ73" s="157"/>
      <c r="AK73" s="155"/>
      <c r="AL73" s="59"/>
      <c r="AM73" s="155"/>
      <c r="AN73" s="155"/>
      <c r="AO73" s="155"/>
      <c r="AP73" s="157"/>
      <c r="AQ73" s="155"/>
      <c r="AR73" s="59"/>
      <c r="AS73" s="82">
        <f>SUM(AF73,Z73,T73,N73,H73,AL73,AR73)</f>
        <v>0</v>
      </c>
      <c r="AT73" s="122" t="str">
        <f>A73</f>
        <v>F&amp;A Costs of Subcontractor</v>
      </c>
      <c r="AU73" s="23"/>
      <c r="AV73" s="23"/>
      <c r="AW73" s="39"/>
      <c r="AX73" s="18"/>
      <c r="AY73" s="19"/>
      <c r="AZ73" s="20"/>
    </row>
    <row r="74" spans="1:53" s="21" customFormat="1" ht="13.5" outlineLevel="1" thickBot="1" x14ac:dyDescent="0.25">
      <c r="A74" s="194" t="s">
        <v>169</v>
      </c>
      <c r="B74" s="201"/>
      <c r="C74" s="436" t="s">
        <v>157</v>
      </c>
      <c r="D74" s="437"/>
      <c r="E74" s="437"/>
      <c r="F74" s="437"/>
      <c r="G74" s="111">
        <f>IF(H74&gt;=25000,25000,H74)</f>
        <v>0</v>
      </c>
      <c r="H74" s="112">
        <f>ROUND(SUM(H72:H73),0)</f>
        <v>0</v>
      </c>
      <c r="I74" s="406" t="s">
        <v>157</v>
      </c>
      <c r="J74" s="407"/>
      <c r="K74" s="407"/>
      <c r="L74" s="407"/>
      <c r="M74" s="113">
        <f>IF((N74+G74)&gt;=25000,25000-G74,N74)</f>
        <v>0</v>
      </c>
      <c r="N74" s="112">
        <f>ROUND(SUM(N72:N73),0)</f>
        <v>0</v>
      </c>
      <c r="O74" s="406" t="s">
        <v>157</v>
      </c>
      <c r="P74" s="407"/>
      <c r="Q74" s="407"/>
      <c r="R74" s="407"/>
      <c r="S74" s="113">
        <f>IF((T74+M74+G74)&gt;=25000,25000-M74-G74,T74)</f>
        <v>0</v>
      </c>
      <c r="T74" s="112">
        <f>ROUND(SUM(T72:T73),0)</f>
        <v>0</v>
      </c>
      <c r="U74" s="406" t="s">
        <v>157</v>
      </c>
      <c r="V74" s="407"/>
      <c r="W74" s="407"/>
      <c r="X74" s="407"/>
      <c r="Y74" s="113">
        <f>IF((Z74+S74+M74+G74)&gt;=25000,25000-S74-M74-G74,Z74)</f>
        <v>0</v>
      </c>
      <c r="Z74" s="112">
        <f>ROUND(SUM(Z72:Z73),0)</f>
        <v>0</v>
      </c>
      <c r="AA74" s="406" t="s">
        <v>157</v>
      </c>
      <c r="AB74" s="407"/>
      <c r="AC74" s="407"/>
      <c r="AD74" s="407"/>
      <c r="AE74" s="114">
        <f>IF((AF74+Y74+S74+M74+G74)&gt;=25000,25000-Y74-S74-M74-G74,AF74)</f>
        <v>0</v>
      </c>
      <c r="AF74" s="112">
        <f>ROUND(SUM(AF72:AF73),0)</f>
        <v>0</v>
      </c>
      <c r="AG74" s="406" t="s">
        <v>157</v>
      </c>
      <c r="AH74" s="407"/>
      <c r="AI74" s="407"/>
      <c r="AJ74" s="407"/>
      <c r="AK74" s="114">
        <f>IF((AL74+AE74+Y74+S74+M74)&gt;=25000,25000-AE74-Y74-S74-M74,AL74)</f>
        <v>0</v>
      </c>
      <c r="AL74" s="112">
        <f>ROUND(SUM(AL72:AL73),0)</f>
        <v>0</v>
      </c>
      <c r="AM74" s="406" t="s">
        <v>157</v>
      </c>
      <c r="AN74" s="407"/>
      <c r="AO74" s="407"/>
      <c r="AP74" s="407"/>
      <c r="AQ74" s="114">
        <f>IF((AR74+AK74+AE74+Y74+S74+M74+G74)&gt;=25000,25000-AK74-AE74-Y74-S74-M74-G74,AR74)</f>
        <v>0</v>
      </c>
      <c r="AR74" s="112">
        <f>ROUND(SUM(AR72:AR73),0)</f>
        <v>0</v>
      </c>
      <c r="AS74" s="83">
        <f>SUM(AS72:AS73)</f>
        <v>0</v>
      </c>
      <c r="AT74" s="118" t="s">
        <v>170</v>
      </c>
      <c r="AU74" s="23"/>
      <c r="AV74" s="40"/>
      <c r="AW74" s="40"/>
      <c r="AX74" s="41"/>
      <c r="AY74" s="24"/>
      <c r="AZ74" s="25"/>
      <c r="BA74" s="26"/>
    </row>
    <row r="75" spans="1:53" s="21" customFormat="1" outlineLevel="1" x14ac:dyDescent="0.2">
      <c r="A75" s="64" t="s">
        <v>152</v>
      </c>
      <c r="B75" s="135" t="s">
        <v>171</v>
      </c>
      <c r="C75" s="199"/>
      <c r="D75" s="199"/>
      <c r="E75" s="199"/>
      <c r="F75" s="199"/>
      <c r="G75" s="238" t="str">
        <f>A75</f>
        <v xml:space="preserve">  Subaward Name </v>
      </c>
      <c r="H75" s="185" t="s">
        <v>72</v>
      </c>
      <c r="I75" s="408" t="str">
        <f>A75</f>
        <v xml:space="preserve">  Subaward Name </v>
      </c>
      <c r="J75" s="409"/>
      <c r="K75" s="409"/>
      <c r="L75" s="409"/>
      <c r="M75" s="409"/>
      <c r="N75" s="185" t="s">
        <v>73</v>
      </c>
      <c r="O75" s="408" t="str">
        <f>A75</f>
        <v xml:space="preserve">  Subaward Name </v>
      </c>
      <c r="P75" s="409"/>
      <c r="Q75" s="409"/>
      <c r="R75" s="409"/>
      <c r="S75" s="409"/>
      <c r="T75" s="185" t="s">
        <v>74</v>
      </c>
      <c r="U75" s="408" t="str">
        <f>A75</f>
        <v xml:space="preserve">  Subaward Name </v>
      </c>
      <c r="V75" s="409"/>
      <c r="W75" s="409"/>
      <c r="X75" s="409"/>
      <c r="Y75" s="409"/>
      <c r="Z75" s="185" t="s">
        <v>75</v>
      </c>
      <c r="AA75" s="408" t="str">
        <f>A75</f>
        <v xml:space="preserve">  Subaward Name </v>
      </c>
      <c r="AB75" s="409"/>
      <c r="AC75" s="409"/>
      <c r="AD75" s="409"/>
      <c r="AE75" s="409"/>
      <c r="AF75" s="185" t="s">
        <v>76</v>
      </c>
      <c r="AG75" s="408" t="str">
        <f>A75</f>
        <v xml:space="preserve">  Subaward Name </v>
      </c>
      <c r="AH75" s="409"/>
      <c r="AI75" s="409"/>
      <c r="AJ75" s="409"/>
      <c r="AK75" s="409"/>
      <c r="AL75" s="185" t="s">
        <v>77</v>
      </c>
      <c r="AM75" s="408" t="str">
        <f>A75</f>
        <v xml:space="preserve">  Subaward Name </v>
      </c>
      <c r="AN75" s="409"/>
      <c r="AO75" s="409"/>
      <c r="AP75" s="409"/>
      <c r="AQ75" s="409"/>
      <c r="AR75" s="185" t="s">
        <v>78</v>
      </c>
      <c r="AS75" s="180"/>
      <c r="AT75" s="118" t="str">
        <f>A75</f>
        <v xml:space="preserve">  Subaward Name </v>
      </c>
      <c r="AU75" s="23"/>
      <c r="AV75" s="23"/>
      <c r="AW75" s="39"/>
      <c r="AX75" s="18"/>
      <c r="AY75" s="19"/>
      <c r="AZ75" s="20"/>
    </row>
    <row r="76" spans="1:53" s="21" customFormat="1" outlineLevel="1" x14ac:dyDescent="0.2">
      <c r="A76" s="189" t="s">
        <v>154</v>
      </c>
      <c r="B76" s="200"/>
      <c r="C76" s="193"/>
      <c r="D76" s="134"/>
      <c r="E76" s="134"/>
      <c r="F76" s="134"/>
      <c r="G76" s="192"/>
      <c r="H76" s="57"/>
      <c r="I76" s="155"/>
      <c r="J76" s="155"/>
      <c r="K76" s="155"/>
      <c r="L76" s="157"/>
      <c r="M76" s="155"/>
      <c r="N76" s="57"/>
      <c r="O76" s="155"/>
      <c r="P76" s="155"/>
      <c r="Q76" s="155"/>
      <c r="R76" s="157"/>
      <c r="S76" s="155"/>
      <c r="T76" s="57"/>
      <c r="U76" s="155"/>
      <c r="V76" s="155"/>
      <c r="W76" s="155"/>
      <c r="X76" s="157"/>
      <c r="Y76" s="155"/>
      <c r="Z76" s="57"/>
      <c r="AA76" s="155"/>
      <c r="AB76" s="155"/>
      <c r="AC76" s="155"/>
      <c r="AD76" s="157"/>
      <c r="AE76" s="155"/>
      <c r="AF76" s="57"/>
      <c r="AG76" s="155"/>
      <c r="AH76" s="155"/>
      <c r="AI76" s="155"/>
      <c r="AJ76" s="157"/>
      <c r="AK76" s="155"/>
      <c r="AL76" s="57"/>
      <c r="AM76" s="155"/>
      <c r="AN76" s="155"/>
      <c r="AO76" s="155"/>
      <c r="AP76" s="157"/>
      <c r="AQ76" s="155"/>
      <c r="AR76" s="57"/>
      <c r="AS76" s="82">
        <f>SUM(AF76,Z76,T76,N76,H76,AL76,AR76)</f>
        <v>0</v>
      </c>
      <c r="AT76" s="122" t="str">
        <f>A76</f>
        <v>Direct costs of Subcontractor</v>
      </c>
      <c r="AU76" s="23"/>
      <c r="AV76" s="23"/>
      <c r="AW76" s="39"/>
      <c r="AX76" s="18"/>
      <c r="AY76" s="19"/>
      <c r="AZ76" s="20"/>
    </row>
    <row r="77" spans="1:53" s="21" customFormat="1" ht="13.5" outlineLevel="1" thickBot="1" x14ac:dyDescent="0.25">
      <c r="A77" s="189" t="s">
        <v>155</v>
      </c>
      <c r="B77" s="200"/>
      <c r="C77" s="193"/>
      <c r="D77" s="135"/>
      <c r="E77" s="135"/>
      <c r="F77" s="134"/>
      <c r="G77" s="192"/>
      <c r="H77" s="59"/>
      <c r="I77" s="155"/>
      <c r="J77" s="155"/>
      <c r="K77" s="155"/>
      <c r="L77" s="157"/>
      <c r="M77" s="155"/>
      <c r="N77" s="59"/>
      <c r="O77" s="155"/>
      <c r="P77" s="155"/>
      <c r="Q77" s="155"/>
      <c r="R77" s="157"/>
      <c r="S77" s="155"/>
      <c r="T77" s="59"/>
      <c r="U77" s="155"/>
      <c r="V77" s="155"/>
      <c r="W77" s="155"/>
      <c r="X77" s="157"/>
      <c r="Y77" s="155"/>
      <c r="Z77" s="59"/>
      <c r="AA77" s="155"/>
      <c r="AB77" s="155"/>
      <c r="AC77" s="155"/>
      <c r="AD77" s="157"/>
      <c r="AE77" s="155"/>
      <c r="AF77" s="59"/>
      <c r="AG77" s="155"/>
      <c r="AH77" s="155"/>
      <c r="AI77" s="155"/>
      <c r="AJ77" s="157"/>
      <c r="AK77" s="155"/>
      <c r="AL77" s="59"/>
      <c r="AM77" s="155"/>
      <c r="AN77" s="155"/>
      <c r="AO77" s="155"/>
      <c r="AP77" s="157"/>
      <c r="AQ77" s="155"/>
      <c r="AR77" s="59"/>
      <c r="AS77" s="82">
        <f>SUM(AF77,Z77,T77,N77,H77,AL77,AR77)</f>
        <v>0</v>
      </c>
      <c r="AT77" s="122" t="str">
        <f>A77</f>
        <v>F&amp;A Costs of Subcontractor</v>
      </c>
      <c r="AU77" s="23"/>
      <c r="AV77" s="23"/>
      <c r="AW77" s="39"/>
      <c r="AX77" s="18"/>
      <c r="AY77" s="19"/>
      <c r="AZ77" s="20"/>
    </row>
    <row r="78" spans="1:53" s="21" customFormat="1" ht="13.5" outlineLevel="1" thickBot="1" x14ac:dyDescent="0.25">
      <c r="A78" s="194" t="s">
        <v>172</v>
      </c>
      <c r="B78" s="201"/>
      <c r="C78" s="436" t="s">
        <v>157</v>
      </c>
      <c r="D78" s="437"/>
      <c r="E78" s="437"/>
      <c r="F78" s="437"/>
      <c r="G78" s="111">
        <f>IF(H78&gt;=25000,25000,H78)</f>
        <v>0</v>
      </c>
      <c r="H78" s="112">
        <f>ROUND(SUM(H76:H77),0)</f>
        <v>0</v>
      </c>
      <c r="I78" s="406" t="s">
        <v>157</v>
      </c>
      <c r="J78" s="407"/>
      <c r="K78" s="407"/>
      <c r="L78" s="407"/>
      <c r="M78" s="113">
        <f>IF((N78+G78)&gt;=25000,25000-G78,N78)</f>
        <v>0</v>
      </c>
      <c r="N78" s="112">
        <f>ROUND(SUM(N76:N77),0)</f>
        <v>0</v>
      </c>
      <c r="O78" s="406" t="s">
        <v>157</v>
      </c>
      <c r="P78" s="407"/>
      <c r="Q78" s="407"/>
      <c r="R78" s="407"/>
      <c r="S78" s="113">
        <f>IF((T78+M78+G78)&gt;=25000,25000-M78-G78,T78)</f>
        <v>0</v>
      </c>
      <c r="T78" s="112">
        <f>ROUND(SUM(T76:T77),0)</f>
        <v>0</v>
      </c>
      <c r="U78" s="406" t="s">
        <v>157</v>
      </c>
      <c r="V78" s="407"/>
      <c r="W78" s="407"/>
      <c r="X78" s="407"/>
      <c r="Y78" s="113">
        <f>IF((Z78+S78+M78+G78)&gt;=25000,25000-S78-M78-G78,Z78)</f>
        <v>0</v>
      </c>
      <c r="Z78" s="112">
        <f>ROUND(SUM(Z76:Z77),0)</f>
        <v>0</v>
      </c>
      <c r="AA78" s="406" t="s">
        <v>157</v>
      </c>
      <c r="AB78" s="407"/>
      <c r="AC78" s="407"/>
      <c r="AD78" s="407"/>
      <c r="AE78" s="114">
        <f>IF((AF78+Y78+S78+M78+G78)&gt;=25000,25000-Y78-S78-M78-G78,AF78)</f>
        <v>0</v>
      </c>
      <c r="AF78" s="112">
        <f>ROUND(SUM(AF76:AF77),0)</f>
        <v>0</v>
      </c>
      <c r="AG78" s="406" t="s">
        <v>157</v>
      </c>
      <c r="AH78" s="407"/>
      <c r="AI78" s="407"/>
      <c r="AJ78" s="407"/>
      <c r="AK78" s="114">
        <f>IF((AL78+AE78+Y78+S78+M78)&gt;=25000,25000-AE78-Y78-S78-M78,AL78)</f>
        <v>0</v>
      </c>
      <c r="AL78" s="112">
        <f>ROUND(SUM(AL76:AL77),0)</f>
        <v>0</v>
      </c>
      <c r="AM78" s="406" t="s">
        <v>157</v>
      </c>
      <c r="AN78" s="407"/>
      <c r="AO78" s="407"/>
      <c r="AP78" s="407"/>
      <c r="AQ78" s="114">
        <f>IF((AR78+AK78+AE78+Y78+S78+M78+G78)&gt;=25000,25000-AK78-AE78-Y78-S78-M78-G78,AR78)</f>
        <v>0</v>
      </c>
      <c r="AR78" s="112">
        <f>ROUND(SUM(AR76:AR77),0)</f>
        <v>0</v>
      </c>
      <c r="AS78" s="83">
        <f>SUM(AS76:AS77)</f>
        <v>0</v>
      </c>
      <c r="AT78" s="118" t="s">
        <v>173</v>
      </c>
      <c r="AU78" s="23"/>
      <c r="AV78" s="40"/>
      <c r="AW78" s="40"/>
      <c r="AX78" s="41"/>
      <c r="AY78" s="24"/>
      <c r="AZ78" s="25"/>
      <c r="BA78" s="26"/>
    </row>
    <row r="79" spans="1:53" s="21" customFormat="1" outlineLevel="1" x14ac:dyDescent="0.2">
      <c r="A79" s="64" t="s">
        <v>152</v>
      </c>
      <c r="B79" s="135" t="s">
        <v>174</v>
      </c>
      <c r="C79" s="199"/>
      <c r="D79" s="199"/>
      <c r="E79" s="199"/>
      <c r="F79" s="199"/>
      <c r="G79" s="238" t="str">
        <f>A79</f>
        <v xml:space="preserve">  Subaward Name </v>
      </c>
      <c r="H79" s="185" t="s">
        <v>72</v>
      </c>
      <c r="I79" s="408" t="str">
        <f>A79</f>
        <v xml:space="preserve">  Subaward Name </v>
      </c>
      <c r="J79" s="409"/>
      <c r="K79" s="409"/>
      <c r="L79" s="409"/>
      <c r="M79" s="409"/>
      <c r="N79" s="185" t="s">
        <v>73</v>
      </c>
      <c r="O79" s="408" t="str">
        <f>A79</f>
        <v xml:space="preserve">  Subaward Name </v>
      </c>
      <c r="P79" s="409"/>
      <c r="Q79" s="409"/>
      <c r="R79" s="409"/>
      <c r="S79" s="409"/>
      <c r="T79" s="185" t="s">
        <v>74</v>
      </c>
      <c r="U79" s="408" t="str">
        <f>A79</f>
        <v xml:space="preserve">  Subaward Name </v>
      </c>
      <c r="V79" s="409"/>
      <c r="W79" s="409"/>
      <c r="X79" s="409"/>
      <c r="Y79" s="409"/>
      <c r="Z79" s="185" t="s">
        <v>75</v>
      </c>
      <c r="AA79" s="408" t="str">
        <f>A79</f>
        <v xml:space="preserve">  Subaward Name </v>
      </c>
      <c r="AB79" s="409"/>
      <c r="AC79" s="409"/>
      <c r="AD79" s="409"/>
      <c r="AE79" s="409"/>
      <c r="AF79" s="185" t="s">
        <v>76</v>
      </c>
      <c r="AG79" s="408" t="str">
        <f>A79</f>
        <v xml:space="preserve">  Subaward Name </v>
      </c>
      <c r="AH79" s="409"/>
      <c r="AI79" s="409"/>
      <c r="AJ79" s="409"/>
      <c r="AK79" s="409"/>
      <c r="AL79" s="185" t="s">
        <v>77</v>
      </c>
      <c r="AM79" s="408" t="str">
        <f>A79</f>
        <v xml:space="preserve">  Subaward Name </v>
      </c>
      <c r="AN79" s="409"/>
      <c r="AO79" s="409"/>
      <c r="AP79" s="409"/>
      <c r="AQ79" s="409"/>
      <c r="AR79" s="185" t="s">
        <v>78</v>
      </c>
      <c r="AS79" s="180"/>
      <c r="AT79" s="118" t="str">
        <f>A79</f>
        <v xml:space="preserve">  Subaward Name </v>
      </c>
      <c r="AU79" s="23"/>
      <c r="AV79" s="23"/>
      <c r="AW79" s="39"/>
      <c r="AX79" s="18"/>
      <c r="AY79" s="19"/>
      <c r="AZ79" s="20"/>
    </row>
    <row r="80" spans="1:53" s="21" customFormat="1" outlineLevel="1" x14ac:dyDescent="0.2">
      <c r="A80" s="189" t="s">
        <v>154</v>
      </c>
      <c r="B80" s="200"/>
      <c r="C80" s="193"/>
      <c r="D80" s="134"/>
      <c r="E80" s="134"/>
      <c r="F80" s="134"/>
      <c r="G80" s="192"/>
      <c r="H80" s="57"/>
      <c r="I80" s="155"/>
      <c r="J80" s="155"/>
      <c r="K80" s="155"/>
      <c r="L80" s="157"/>
      <c r="M80" s="155"/>
      <c r="N80" s="57"/>
      <c r="O80" s="155"/>
      <c r="P80" s="155"/>
      <c r="Q80" s="155"/>
      <c r="R80" s="157"/>
      <c r="S80" s="155"/>
      <c r="T80" s="57"/>
      <c r="U80" s="155"/>
      <c r="V80" s="155"/>
      <c r="W80" s="155"/>
      <c r="X80" s="157"/>
      <c r="Y80" s="155"/>
      <c r="Z80" s="57"/>
      <c r="AA80" s="155"/>
      <c r="AB80" s="155"/>
      <c r="AC80" s="155"/>
      <c r="AD80" s="157"/>
      <c r="AE80" s="155"/>
      <c r="AF80" s="57"/>
      <c r="AG80" s="155"/>
      <c r="AH80" s="155"/>
      <c r="AI80" s="155"/>
      <c r="AJ80" s="157"/>
      <c r="AK80" s="155"/>
      <c r="AL80" s="57"/>
      <c r="AM80" s="155"/>
      <c r="AN80" s="155"/>
      <c r="AO80" s="155"/>
      <c r="AP80" s="157"/>
      <c r="AQ80" s="155"/>
      <c r="AR80" s="57"/>
      <c r="AS80" s="82">
        <f>SUM(AF80,Z80,T80,N80,H80,AL80,AR80)</f>
        <v>0</v>
      </c>
      <c r="AT80" s="122" t="str">
        <f>A80</f>
        <v>Direct costs of Subcontractor</v>
      </c>
      <c r="AU80" s="23"/>
      <c r="AV80" s="23"/>
      <c r="AW80" s="39"/>
      <c r="AX80" s="18"/>
      <c r="AY80" s="19"/>
      <c r="AZ80" s="20"/>
    </row>
    <row r="81" spans="1:105" s="21" customFormat="1" ht="13.5" outlineLevel="1" thickBot="1" x14ac:dyDescent="0.25">
      <c r="A81" s="189" t="s">
        <v>155</v>
      </c>
      <c r="B81" s="200"/>
      <c r="C81" s="193"/>
      <c r="D81" s="135"/>
      <c r="E81" s="135"/>
      <c r="F81" s="134"/>
      <c r="G81" s="192"/>
      <c r="H81" s="59"/>
      <c r="I81" s="155"/>
      <c r="J81" s="155"/>
      <c r="K81" s="155"/>
      <c r="L81" s="157"/>
      <c r="M81" s="155"/>
      <c r="N81" s="59"/>
      <c r="O81" s="155"/>
      <c r="P81" s="155"/>
      <c r="Q81" s="155"/>
      <c r="R81" s="157"/>
      <c r="S81" s="155"/>
      <c r="T81" s="59"/>
      <c r="U81" s="155"/>
      <c r="V81" s="155"/>
      <c r="W81" s="155"/>
      <c r="X81" s="157"/>
      <c r="Y81" s="155"/>
      <c r="Z81" s="59"/>
      <c r="AA81" s="155"/>
      <c r="AB81" s="155"/>
      <c r="AC81" s="155"/>
      <c r="AD81" s="157"/>
      <c r="AE81" s="155"/>
      <c r="AF81" s="59"/>
      <c r="AG81" s="155"/>
      <c r="AH81" s="155"/>
      <c r="AI81" s="155"/>
      <c r="AJ81" s="157"/>
      <c r="AK81" s="155"/>
      <c r="AL81" s="59"/>
      <c r="AM81" s="155"/>
      <c r="AN81" s="155"/>
      <c r="AO81" s="155"/>
      <c r="AP81" s="157"/>
      <c r="AQ81" s="155"/>
      <c r="AR81" s="59"/>
      <c r="AS81" s="82">
        <f>SUM(AF81,Z81,T81,N81,H81,AL81,AR81)</f>
        <v>0</v>
      </c>
      <c r="AT81" s="122" t="str">
        <f>A81</f>
        <v>F&amp;A Costs of Subcontractor</v>
      </c>
      <c r="AU81" s="23"/>
      <c r="AV81" s="23"/>
      <c r="AW81" s="39"/>
      <c r="AX81" s="18"/>
      <c r="AY81" s="19"/>
      <c r="AZ81" s="20"/>
    </row>
    <row r="82" spans="1:105" s="21" customFormat="1" ht="13.5" outlineLevel="1" thickBot="1" x14ac:dyDescent="0.25">
      <c r="A82" s="194" t="s">
        <v>175</v>
      </c>
      <c r="B82" s="201"/>
      <c r="C82" s="436" t="s">
        <v>157</v>
      </c>
      <c r="D82" s="437"/>
      <c r="E82" s="437"/>
      <c r="F82" s="437"/>
      <c r="G82" s="111">
        <f>IF(H82&gt;=25000,25000,H82)</f>
        <v>0</v>
      </c>
      <c r="H82" s="112">
        <f>ROUND(SUM(H80:H81),0)</f>
        <v>0</v>
      </c>
      <c r="I82" s="406" t="s">
        <v>157</v>
      </c>
      <c r="J82" s="407"/>
      <c r="K82" s="407"/>
      <c r="L82" s="407"/>
      <c r="M82" s="113">
        <f>IF((N82+G82)&gt;=25000,25000-G82,N82)</f>
        <v>0</v>
      </c>
      <c r="N82" s="112">
        <f>ROUND(SUM(N80:N81),0)</f>
        <v>0</v>
      </c>
      <c r="O82" s="406" t="s">
        <v>157</v>
      </c>
      <c r="P82" s="407"/>
      <c r="Q82" s="407"/>
      <c r="R82" s="407"/>
      <c r="S82" s="113">
        <f>IF((T82+M82+G82)&gt;=25000,25000-M82-G82,T82)</f>
        <v>0</v>
      </c>
      <c r="T82" s="112">
        <f>ROUND(SUM(T80:T81),0)</f>
        <v>0</v>
      </c>
      <c r="U82" s="406" t="s">
        <v>157</v>
      </c>
      <c r="V82" s="407"/>
      <c r="W82" s="407"/>
      <c r="X82" s="407"/>
      <c r="Y82" s="113">
        <f>IF((Z82+S82+M82+G82)&gt;=25000,25000-S82-M82-G82,Z82)</f>
        <v>0</v>
      </c>
      <c r="Z82" s="112">
        <f>ROUND(SUM(Z80:Z81),0)</f>
        <v>0</v>
      </c>
      <c r="AA82" s="406" t="s">
        <v>157</v>
      </c>
      <c r="AB82" s="407"/>
      <c r="AC82" s="407"/>
      <c r="AD82" s="407"/>
      <c r="AE82" s="114">
        <f>IF((AF82+Y82+S82+M82+G82)&gt;=25000,25000-Y82-S82-M82-G82,AF82)</f>
        <v>0</v>
      </c>
      <c r="AF82" s="112">
        <f>ROUND(SUM(AF80:AF81),0)</f>
        <v>0</v>
      </c>
      <c r="AG82" s="406" t="s">
        <v>157</v>
      </c>
      <c r="AH82" s="407"/>
      <c r="AI82" s="407"/>
      <c r="AJ82" s="407"/>
      <c r="AK82" s="114">
        <f>IF((AL82+AE82+Y82+S82+M82)&gt;=25000,25000-AE82-Y82-S82-M82,AL82)</f>
        <v>0</v>
      </c>
      <c r="AL82" s="112">
        <f>ROUND(SUM(AL80:AL81),0)</f>
        <v>0</v>
      </c>
      <c r="AM82" s="406" t="s">
        <v>157</v>
      </c>
      <c r="AN82" s="407"/>
      <c r="AO82" s="407"/>
      <c r="AP82" s="407"/>
      <c r="AQ82" s="114">
        <f>IF((AR82+AK82+AE82+Y82+S82+M82+G82)&gt;=25000,25000-AK82-AE82-Y82-S82-M82-G82,AR82)</f>
        <v>0</v>
      </c>
      <c r="AR82" s="112">
        <f>ROUND(SUM(AR80:AR81),0)</f>
        <v>0</v>
      </c>
      <c r="AS82" s="83">
        <f>SUM(AS80:AS81)</f>
        <v>0</v>
      </c>
      <c r="AT82" s="118" t="s">
        <v>176</v>
      </c>
      <c r="AU82" s="23"/>
      <c r="AV82" s="40"/>
      <c r="AW82" s="40"/>
      <c r="AX82" s="41"/>
      <c r="AY82" s="24"/>
      <c r="AZ82" s="25"/>
      <c r="BA82" s="26"/>
    </row>
    <row r="83" spans="1:105" s="21" customFormat="1" outlineLevel="1" x14ac:dyDescent="0.2">
      <c r="A83" s="64" t="s">
        <v>152</v>
      </c>
      <c r="B83" s="135" t="s">
        <v>177</v>
      </c>
      <c r="C83" s="199"/>
      <c r="D83" s="199"/>
      <c r="E83" s="199"/>
      <c r="F83" s="199"/>
      <c r="G83" s="238" t="str">
        <f>A83</f>
        <v xml:space="preserve">  Subaward Name </v>
      </c>
      <c r="H83" s="185" t="s">
        <v>72</v>
      </c>
      <c r="I83" s="408" t="str">
        <f>A83</f>
        <v xml:space="preserve">  Subaward Name </v>
      </c>
      <c r="J83" s="409"/>
      <c r="K83" s="409"/>
      <c r="L83" s="409"/>
      <c r="M83" s="409"/>
      <c r="N83" s="185" t="s">
        <v>73</v>
      </c>
      <c r="O83" s="408" t="str">
        <f>A83</f>
        <v xml:space="preserve">  Subaward Name </v>
      </c>
      <c r="P83" s="409"/>
      <c r="Q83" s="409"/>
      <c r="R83" s="409"/>
      <c r="S83" s="409"/>
      <c r="T83" s="185" t="s">
        <v>74</v>
      </c>
      <c r="U83" s="408" t="str">
        <f>A83</f>
        <v xml:space="preserve">  Subaward Name </v>
      </c>
      <c r="V83" s="409"/>
      <c r="W83" s="409"/>
      <c r="X83" s="409"/>
      <c r="Y83" s="409"/>
      <c r="Z83" s="185" t="s">
        <v>75</v>
      </c>
      <c r="AA83" s="408" t="str">
        <f>A83</f>
        <v xml:space="preserve">  Subaward Name </v>
      </c>
      <c r="AB83" s="409"/>
      <c r="AC83" s="409"/>
      <c r="AD83" s="409"/>
      <c r="AE83" s="409"/>
      <c r="AF83" s="185" t="s">
        <v>76</v>
      </c>
      <c r="AG83" s="408" t="str">
        <f>A83</f>
        <v xml:space="preserve">  Subaward Name </v>
      </c>
      <c r="AH83" s="409"/>
      <c r="AI83" s="409"/>
      <c r="AJ83" s="409"/>
      <c r="AK83" s="409"/>
      <c r="AL83" s="185" t="s">
        <v>77</v>
      </c>
      <c r="AM83" s="408" t="str">
        <f>A83</f>
        <v xml:space="preserve">  Subaward Name </v>
      </c>
      <c r="AN83" s="409"/>
      <c r="AO83" s="409"/>
      <c r="AP83" s="409"/>
      <c r="AQ83" s="409"/>
      <c r="AR83" s="185" t="s">
        <v>78</v>
      </c>
      <c r="AS83" s="180"/>
      <c r="AT83" s="118" t="str">
        <f>A83</f>
        <v xml:space="preserve">  Subaward Name </v>
      </c>
      <c r="AU83" s="23"/>
      <c r="AV83" s="23"/>
      <c r="AW83" s="39"/>
      <c r="AX83" s="18"/>
      <c r="AY83" s="19"/>
      <c r="AZ83" s="20"/>
    </row>
    <row r="84" spans="1:105" s="21" customFormat="1" outlineLevel="1" x14ac:dyDescent="0.2">
      <c r="A84" s="189" t="s">
        <v>154</v>
      </c>
      <c r="B84" s="200"/>
      <c r="C84" s="193"/>
      <c r="D84" s="134"/>
      <c r="E84" s="134"/>
      <c r="F84" s="134"/>
      <c r="G84" s="192"/>
      <c r="H84" s="57"/>
      <c r="I84" s="155"/>
      <c r="J84" s="155"/>
      <c r="K84" s="155"/>
      <c r="L84" s="157"/>
      <c r="M84" s="155"/>
      <c r="N84" s="57"/>
      <c r="O84" s="155"/>
      <c r="P84" s="155"/>
      <c r="Q84" s="155"/>
      <c r="R84" s="157"/>
      <c r="S84" s="155"/>
      <c r="T84" s="57"/>
      <c r="U84" s="155"/>
      <c r="V84" s="155"/>
      <c r="W84" s="155"/>
      <c r="X84" s="157"/>
      <c r="Y84" s="155"/>
      <c r="Z84" s="57"/>
      <c r="AA84" s="155"/>
      <c r="AB84" s="155"/>
      <c r="AC84" s="155"/>
      <c r="AD84" s="157"/>
      <c r="AE84" s="155"/>
      <c r="AF84" s="57"/>
      <c r="AG84" s="155"/>
      <c r="AH84" s="155"/>
      <c r="AI84" s="155"/>
      <c r="AJ84" s="157"/>
      <c r="AK84" s="155"/>
      <c r="AL84" s="57"/>
      <c r="AM84" s="155"/>
      <c r="AN84" s="155"/>
      <c r="AO84" s="155"/>
      <c r="AP84" s="157"/>
      <c r="AQ84" s="155"/>
      <c r="AR84" s="57"/>
      <c r="AS84" s="82">
        <f>SUM(AF84,Z84,T84,N84,H84,AL84,AR84)</f>
        <v>0</v>
      </c>
      <c r="AT84" s="122" t="str">
        <f>A84</f>
        <v>Direct costs of Subcontractor</v>
      </c>
      <c r="AU84" s="23"/>
      <c r="AV84" s="23"/>
      <c r="AW84" s="39"/>
      <c r="AX84" s="18"/>
      <c r="AY84" s="19"/>
      <c r="AZ84" s="20"/>
    </row>
    <row r="85" spans="1:105" s="21" customFormat="1" ht="13.5" outlineLevel="1" thickBot="1" x14ac:dyDescent="0.25">
      <c r="A85" s="189" t="s">
        <v>155</v>
      </c>
      <c r="B85" s="200"/>
      <c r="C85" s="193"/>
      <c r="D85" s="135"/>
      <c r="E85" s="135"/>
      <c r="F85" s="134"/>
      <c r="G85" s="192"/>
      <c r="H85" s="59"/>
      <c r="I85" s="155"/>
      <c r="J85" s="155"/>
      <c r="K85" s="155"/>
      <c r="L85" s="157"/>
      <c r="M85" s="155"/>
      <c r="N85" s="59"/>
      <c r="O85" s="155"/>
      <c r="P85" s="155"/>
      <c r="Q85" s="155"/>
      <c r="R85" s="157"/>
      <c r="S85" s="155"/>
      <c r="T85" s="59"/>
      <c r="U85" s="155"/>
      <c r="V85" s="155"/>
      <c r="W85" s="155"/>
      <c r="X85" s="157"/>
      <c r="Y85" s="155"/>
      <c r="Z85" s="59"/>
      <c r="AA85" s="155"/>
      <c r="AB85" s="155"/>
      <c r="AC85" s="155"/>
      <c r="AD85" s="157"/>
      <c r="AE85" s="155"/>
      <c r="AF85" s="59"/>
      <c r="AG85" s="155"/>
      <c r="AH85" s="155"/>
      <c r="AI85" s="155"/>
      <c r="AJ85" s="157"/>
      <c r="AK85" s="155"/>
      <c r="AL85" s="59"/>
      <c r="AM85" s="155"/>
      <c r="AN85" s="155"/>
      <c r="AO85" s="155"/>
      <c r="AP85" s="157"/>
      <c r="AQ85" s="155"/>
      <c r="AR85" s="59"/>
      <c r="AS85" s="82">
        <f>SUM(AF85,Z85,T85,N85,H85,AL85,AR85)</f>
        <v>0</v>
      </c>
      <c r="AT85" s="122" t="str">
        <f>A85</f>
        <v>F&amp;A Costs of Subcontractor</v>
      </c>
      <c r="AU85" s="23"/>
      <c r="AV85" s="23"/>
      <c r="AW85" s="39"/>
      <c r="AX85" s="18"/>
      <c r="AY85" s="19"/>
      <c r="AZ85" s="20"/>
    </row>
    <row r="86" spans="1:105" s="21" customFormat="1" ht="13.5" outlineLevel="1" thickBot="1" x14ac:dyDescent="0.25">
      <c r="A86" s="194" t="s">
        <v>178</v>
      </c>
      <c r="B86" s="201"/>
      <c r="C86" s="436" t="s">
        <v>157</v>
      </c>
      <c r="D86" s="437"/>
      <c r="E86" s="437"/>
      <c r="F86" s="437"/>
      <c r="G86" s="111">
        <f>IF(H86&gt;=25000,25000,H86)</f>
        <v>0</v>
      </c>
      <c r="H86" s="112">
        <f>ROUND(SUM(H84:H85),0)</f>
        <v>0</v>
      </c>
      <c r="I86" s="406" t="s">
        <v>157</v>
      </c>
      <c r="J86" s="407"/>
      <c r="K86" s="407"/>
      <c r="L86" s="407"/>
      <c r="M86" s="113">
        <f>IF((N86+G86)&gt;=25000,25000-G86,N86)</f>
        <v>0</v>
      </c>
      <c r="N86" s="112">
        <f>ROUND(SUM(N84:N85),0)</f>
        <v>0</v>
      </c>
      <c r="O86" s="406" t="s">
        <v>157</v>
      </c>
      <c r="P86" s="407"/>
      <c r="Q86" s="407"/>
      <c r="R86" s="407"/>
      <c r="S86" s="113">
        <f>IF((T86+M86+G86)&gt;=25000,25000-M86-G86,T86)</f>
        <v>0</v>
      </c>
      <c r="T86" s="112">
        <f>ROUND(SUM(T84:T85),0)</f>
        <v>0</v>
      </c>
      <c r="U86" s="406" t="s">
        <v>157</v>
      </c>
      <c r="V86" s="407"/>
      <c r="W86" s="407"/>
      <c r="X86" s="407"/>
      <c r="Y86" s="113">
        <f>IF((Z86+S86+M86+G86)&gt;=25000,25000-S86-M86-G86,Z86)</f>
        <v>0</v>
      </c>
      <c r="Z86" s="112">
        <f>ROUND(SUM(Z84:Z85),0)</f>
        <v>0</v>
      </c>
      <c r="AA86" s="406" t="s">
        <v>157</v>
      </c>
      <c r="AB86" s="407"/>
      <c r="AC86" s="407"/>
      <c r="AD86" s="407"/>
      <c r="AE86" s="114">
        <f>IF((AF86+Y86+S86+M86+G86)&gt;=25000,25000-Y86-S86-M86-G86,AF86)</f>
        <v>0</v>
      </c>
      <c r="AF86" s="112">
        <f>ROUND(SUM(AF84:AF85),0)</f>
        <v>0</v>
      </c>
      <c r="AG86" s="406" t="s">
        <v>157</v>
      </c>
      <c r="AH86" s="407"/>
      <c r="AI86" s="407"/>
      <c r="AJ86" s="407"/>
      <c r="AK86" s="114">
        <f>IF((AL86+AE86+Y86+S86+M86)&gt;=25000,25000-AE86-Y86-S86-M86,AL86)</f>
        <v>0</v>
      </c>
      <c r="AL86" s="112">
        <f>ROUND(SUM(AL84:AL85),0)</f>
        <v>0</v>
      </c>
      <c r="AM86" s="406" t="s">
        <v>157</v>
      </c>
      <c r="AN86" s="407"/>
      <c r="AO86" s="407"/>
      <c r="AP86" s="407"/>
      <c r="AQ86" s="114">
        <f>IF((AR86+AK86+AE86+Y86+S86+M86+G86)&gt;=25000,25000-AK86-AE86-Y86-S86-M86-G86,AR86)</f>
        <v>0</v>
      </c>
      <c r="AR86" s="112">
        <f>ROUND(SUM(AR84:AR85),0)</f>
        <v>0</v>
      </c>
      <c r="AS86" s="83">
        <f>SUM(AS84:AS85)</f>
        <v>0</v>
      </c>
      <c r="AT86" s="118" t="s">
        <v>179</v>
      </c>
      <c r="AU86" s="23"/>
      <c r="AV86" s="40"/>
      <c r="AW86" s="40"/>
      <c r="AX86" s="41"/>
      <c r="AY86" s="24"/>
      <c r="AZ86" s="25"/>
      <c r="BA86" s="26"/>
    </row>
    <row r="87" spans="1:105" s="21" customFormat="1" outlineLevel="1" x14ac:dyDescent="0.2">
      <c r="A87" s="64" t="s">
        <v>152</v>
      </c>
      <c r="B87" s="135" t="s">
        <v>180</v>
      </c>
      <c r="C87" s="199"/>
      <c r="D87" s="199"/>
      <c r="E87" s="199"/>
      <c r="F87" s="199"/>
      <c r="G87" s="238" t="str">
        <f>A87</f>
        <v xml:space="preserve">  Subaward Name </v>
      </c>
      <c r="H87" s="185" t="s">
        <v>72</v>
      </c>
      <c r="I87" s="408" t="str">
        <f>A87</f>
        <v xml:space="preserve">  Subaward Name </v>
      </c>
      <c r="J87" s="409"/>
      <c r="K87" s="409"/>
      <c r="L87" s="409"/>
      <c r="M87" s="409"/>
      <c r="N87" s="185" t="s">
        <v>73</v>
      </c>
      <c r="O87" s="408" t="str">
        <f>A87</f>
        <v xml:space="preserve">  Subaward Name </v>
      </c>
      <c r="P87" s="409"/>
      <c r="Q87" s="409"/>
      <c r="R87" s="409"/>
      <c r="S87" s="409"/>
      <c r="T87" s="185" t="s">
        <v>74</v>
      </c>
      <c r="U87" s="408" t="str">
        <f>A87</f>
        <v xml:space="preserve">  Subaward Name </v>
      </c>
      <c r="V87" s="409"/>
      <c r="W87" s="409"/>
      <c r="X87" s="409"/>
      <c r="Y87" s="409"/>
      <c r="Z87" s="185" t="s">
        <v>75</v>
      </c>
      <c r="AA87" s="408" t="str">
        <f>A87</f>
        <v xml:space="preserve">  Subaward Name </v>
      </c>
      <c r="AB87" s="409"/>
      <c r="AC87" s="409"/>
      <c r="AD87" s="409"/>
      <c r="AE87" s="409"/>
      <c r="AF87" s="185" t="s">
        <v>76</v>
      </c>
      <c r="AG87" s="408" t="str">
        <f>A87</f>
        <v xml:space="preserve">  Subaward Name </v>
      </c>
      <c r="AH87" s="409"/>
      <c r="AI87" s="409"/>
      <c r="AJ87" s="409"/>
      <c r="AK87" s="409"/>
      <c r="AL87" s="185" t="s">
        <v>77</v>
      </c>
      <c r="AM87" s="408" t="str">
        <f>A87</f>
        <v xml:space="preserve">  Subaward Name </v>
      </c>
      <c r="AN87" s="409"/>
      <c r="AO87" s="409"/>
      <c r="AP87" s="409"/>
      <c r="AQ87" s="409"/>
      <c r="AR87" s="185" t="s">
        <v>78</v>
      </c>
      <c r="AS87" s="180"/>
      <c r="AT87" s="118" t="str">
        <f>A87</f>
        <v xml:space="preserve">  Subaward Name </v>
      </c>
      <c r="AU87" s="23"/>
      <c r="AV87" s="23"/>
      <c r="AW87" s="39"/>
      <c r="AX87" s="18"/>
      <c r="AY87" s="19"/>
      <c r="AZ87" s="20"/>
    </row>
    <row r="88" spans="1:105" s="21" customFormat="1" outlineLevel="1" x14ac:dyDescent="0.2">
      <c r="A88" s="189" t="s">
        <v>154</v>
      </c>
      <c r="B88" s="200"/>
      <c r="C88" s="193"/>
      <c r="D88" s="134"/>
      <c r="E88" s="134"/>
      <c r="F88" s="134"/>
      <c r="G88" s="192"/>
      <c r="H88" s="57"/>
      <c r="I88" s="155"/>
      <c r="J88" s="155"/>
      <c r="K88" s="155"/>
      <c r="L88" s="157"/>
      <c r="M88" s="155"/>
      <c r="N88" s="57"/>
      <c r="O88" s="155"/>
      <c r="P88" s="155"/>
      <c r="Q88" s="155"/>
      <c r="R88" s="157"/>
      <c r="S88" s="155"/>
      <c r="T88" s="57"/>
      <c r="U88" s="155"/>
      <c r="V88" s="155"/>
      <c r="W88" s="155"/>
      <c r="X88" s="157"/>
      <c r="Y88" s="155"/>
      <c r="Z88" s="57"/>
      <c r="AA88" s="155"/>
      <c r="AB88" s="155"/>
      <c r="AC88" s="155"/>
      <c r="AD88" s="157"/>
      <c r="AE88" s="155"/>
      <c r="AF88" s="57"/>
      <c r="AG88" s="155"/>
      <c r="AH88" s="155"/>
      <c r="AI88" s="155"/>
      <c r="AJ88" s="157"/>
      <c r="AK88" s="155"/>
      <c r="AL88" s="57"/>
      <c r="AM88" s="155"/>
      <c r="AN88" s="155"/>
      <c r="AO88" s="155"/>
      <c r="AP88" s="157"/>
      <c r="AQ88" s="155"/>
      <c r="AR88" s="57"/>
      <c r="AS88" s="82">
        <f>SUM(AF88,Z88,T88,N88,H88,AL88,AR88)</f>
        <v>0</v>
      </c>
      <c r="AT88" s="122" t="str">
        <f>A88</f>
        <v>Direct costs of Subcontractor</v>
      </c>
      <c r="AU88" s="23"/>
      <c r="AV88" s="23"/>
      <c r="AW88" s="39"/>
      <c r="AX88" s="18"/>
      <c r="AY88" s="19"/>
      <c r="AZ88" s="20"/>
    </row>
    <row r="89" spans="1:105" s="21" customFormat="1" ht="13.5" outlineLevel="1" thickBot="1" x14ac:dyDescent="0.25">
      <c r="A89" s="189" t="s">
        <v>155</v>
      </c>
      <c r="B89" s="200"/>
      <c r="C89" s="193"/>
      <c r="D89" s="135"/>
      <c r="E89" s="135"/>
      <c r="F89" s="134"/>
      <c r="G89" s="192"/>
      <c r="H89" s="59"/>
      <c r="I89" s="155"/>
      <c r="J89" s="155"/>
      <c r="K89" s="155"/>
      <c r="L89" s="157"/>
      <c r="M89" s="155"/>
      <c r="N89" s="59"/>
      <c r="O89" s="155"/>
      <c r="P89" s="155"/>
      <c r="Q89" s="155"/>
      <c r="R89" s="157"/>
      <c r="S89" s="155"/>
      <c r="T89" s="59"/>
      <c r="U89" s="155"/>
      <c r="V89" s="155"/>
      <c r="W89" s="155"/>
      <c r="X89" s="157"/>
      <c r="Y89" s="155"/>
      <c r="Z89" s="59"/>
      <c r="AA89" s="155"/>
      <c r="AB89" s="155"/>
      <c r="AC89" s="155"/>
      <c r="AD89" s="157"/>
      <c r="AE89" s="155"/>
      <c r="AF89" s="59"/>
      <c r="AG89" s="155"/>
      <c r="AH89" s="155"/>
      <c r="AI89" s="155"/>
      <c r="AJ89" s="157"/>
      <c r="AK89" s="155"/>
      <c r="AL89" s="59"/>
      <c r="AM89" s="155"/>
      <c r="AN89" s="155"/>
      <c r="AO89" s="155"/>
      <c r="AP89" s="157"/>
      <c r="AQ89" s="155"/>
      <c r="AR89" s="59"/>
      <c r="AS89" s="82">
        <f>SUM(AF89,Z89,T89,N89,H89,AL89,AR89)</f>
        <v>0</v>
      </c>
      <c r="AT89" s="122" t="str">
        <f>A89</f>
        <v>F&amp;A Costs of Subcontractor</v>
      </c>
      <c r="AU89" s="23"/>
      <c r="AV89" s="23"/>
      <c r="AW89" s="39"/>
      <c r="AX89" s="18"/>
      <c r="AY89" s="19"/>
      <c r="AZ89" s="20"/>
    </row>
    <row r="90" spans="1:105" s="21" customFormat="1" ht="13.5" outlineLevel="1" thickBot="1" x14ac:dyDescent="0.25">
      <c r="A90" s="194" t="s">
        <v>181</v>
      </c>
      <c r="B90" s="201"/>
      <c r="C90" s="436" t="s">
        <v>157</v>
      </c>
      <c r="D90" s="437"/>
      <c r="E90" s="437"/>
      <c r="F90" s="437"/>
      <c r="G90" s="111">
        <f>IF(H90&gt;=25000,25000,H90)</f>
        <v>0</v>
      </c>
      <c r="H90" s="112">
        <f>ROUND(SUM(H88:H89),0)</f>
        <v>0</v>
      </c>
      <c r="I90" s="406" t="s">
        <v>157</v>
      </c>
      <c r="J90" s="407"/>
      <c r="K90" s="407"/>
      <c r="L90" s="407"/>
      <c r="M90" s="113">
        <f>IF((N90+G90)&gt;=25000,25000-G90,N90)</f>
        <v>0</v>
      </c>
      <c r="N90" s="112">
        <f>ROUND(SUM(N88:N89),0)</f>
        <v>0</v>
      </c>
      <c r="O90" s="406" t="s">
        <v>157</v>
      </c>
      <c r="P90" s="407"/>
      <c r="Q90" s="407"/>
      <c r="R90" s="407"/>
      <c r="S90" s="113">
        <f>IF((T90+M90+G90)&gt;=25000,25000-M90-G90,T90)</f>
        <v>0</v>
      </c>
      <c r="T90" s="112">
        <f>ROUND(SUM(T88:T89),0)</f>
        <v>0</v>
      </c>
      <c r="U90" s="406" t="s">
        <v>157</v>
      </c>
      <c r="V90" s="407"/>
      <c r="W90" s="407"/>
      <c r="X90" s="407"/>
      <c r="Y90" s="113">
        <f>IF((Z90+S90+M90+G90)&gt;=25000,25000-S90-M90-G90,Z90)</f>
        <v>0</v>
      </c>
      <c r="Z90" s="112">
        <f>ROUND(SUM(Z88:Z89),0)</f>
        <v>0</v>
      </c>
      <c r="AA90" s="406" t="s">
        <v>157</v>
      </c>
      <c r="AB90" s="407"/>
      <c r="AC90" s="407"/>
      <c r="AD90" s="407"/>
      <c r="AE90" s="114">
        <f>IF((AF90+Y90+S90+M90+G90)&gt;=25000,25000-Y90-S90-M90-G90,AF90)</f>
        <v>0</v>
      </c>
      <c r="AF90" s="112">
        <f>ROUND(SUM(AF88:AF89),0)</f>
        <v>0</v>
      </c>
      <c r="AG90" s="406" t="s">
        <v>157</v>
      </c>
      <c r="AH90" s="407"/>
      <c r="AI90" s="407"/>
      <c r="AJ90" s="407"/>
      <c r="AK90" s="114">
        <f>IF((AL90+AE90+Y90+S90+M90)&gt;=25000,25000-AE90-Y90-S90-M90,AL90)</f>
        <v>0</v>
      </c>
      <c r="AL90" s="112">
        <f>ROUND(SUM(AL88:AL89),0)</f>
        <v>0</v>
      </c>
      <c r="AM90" s="406" t="s">
        <v>157</v>
      </c>
      <c r="AN90" s="407"/>
      <c r="AO90" s="407"/>
      <c r="AP90" s="407"/>
      <c r="AQ90" s="114">
        <f>IF((AR90+AK90+AE90+Y90+S90+M90+G90)&gt;=25000,25000-AK90-AE90-Y90-S90-M90-G90,AR90)</f>
        <v>0</v>
      </c>
      <c r="AR90" s="112">
        <f>ROUND(SUM(AR88:AR89),0)</f>
        <v>0</v>
      </c>
      <c r="AS90" s="83">
        <f>SUM(AS88:AS89)</f>
        <v>0</v>
      </c>
      <c r="AT90" s="118" t="s">
        <v>182</v>
      </c>
      <c r="AU90" s="23"/>
      <c r="AV90" s="40"/>
      <c r="AW90" s="40"/>
      <c r="AX90" s="41"/>
      <c r="AY90" s="24"/>
      <c r="AZ90" s="25"/>
      <c r="BA90" s="26"/>
    </row>
    <row r="91" spans="1:105" s="27" customFormat="1" outlineLevel="1" x14ac:dyDescent="0.2">
      <c r="A91" s="64" t="s">
        <v>152</v>
      </c>
      <c r="B91" s="135" t="s">
        <v>183</v>
      </c>
      <c r="C91" s="199"/>
      <c r="D91" s="199"/>
      <c r="E91" s="199"/>
      <c r="F91" s="199"/>
      <c r="G91" s="238" t="str">
        <f>A91</f>
        <v xml:space="preserve">  Subaward Name </v>
      </c>
      <c r="H91" s="185" t="s">
        <v>72</v>
      </c>
      <c r="I91" s="408" t="str">
        <f>A91</f>
        <v xml:space="preserve">  Subaward Name </v>
      </c>
      <c r="J91" s="409"/>
      <c r="K91" s="409"/>
      <c r="L91" s="409"/>
      <c r="M91" s="409"/>
      <c r="N91" s="185" t="s">
        <v>73</v>
      </c>
      <c r="O91" s="408" t="str">
        <f>A91</f>
        <v xml:space="preserve">  Subaward Name </v>
      </c>
      <c r="P91" s="409"/>
      <c r="Q91" s="409"/>
      <c r="R91" s="409"/>
      <c r="S91" s="409"/>
      <c r="T91" s="185" t="s">
        <v>74</v>
      </c>
      <c r="U91" s="408" t="str">
        <f>A91</f>
        <v xml:space="preserve">  Subaward Name </v>
      </c>
      <c r="V91" s="409"/>
      <c r="W91" s="409"/>
      <c r="X91" s="409"/>
      <c r="Y91" s="409"/>
      <c r="Z91" s="185" t="s">
        <v>75</v>
      </c>
      <c r="AA91" s="408" t="str">
        <f>A91</f>
        <v xml:space="preserve">  Subaward Name </v>
      </c>
      <c r="AB91" s="409"/>
      <c r="AC91" s="409"/>
      <c r="AD91" s="409"/>
      <c r="AE91" s="409"/>
      <c r="AF91" s="185" t="s">
        <v>76</v>
      </c>
      <c r="AG91" s="408" t="str">
        <f>A91</f>
        <v xml:space="preserve">  Subaward Name </v>
      </c>
      <c r="AH91" s="409"/>
      <c r="AI91" s="409"/>
      <c r="AJ91" s="409"/>
      <c r="AK91" s="409"/>
      <c r="AL91" s="185" t="s">
        <v>77</v>
      </c>
      <c r="AM91" s="408" t="str">
        <f>A91</f>
        <v xml:space="preserve">  Subaward Name </v>
      </c>
      <c r="AN91" s="409"/>
      <c r="AO91" s="409"/>
      <c r="AP91" s="409"/>
      <c r="AQ91" s="409"/>
      <c r="AR91" s="185" t="s">
        <v>78</v>
      </c>
      <c r="AS91" s="180"/>
      <c r="AT91" s="118" t="str">
        <f>A91</f>
        <v xml:space="preserve">  Subaward Name </v>
      </c>
      <c r="AU91" s="40"/>
      <c r="AV91" s="29"/>
      <c r="AW91" s="29"/>
      <c r="AX91" s="28"/>
      <c r="AY91" s="30"/>
      <c r="AZ91" s="31"/>
      <c r="BA91" s="29"/>
      <c r="BB91" s="26"/>
      <c r="BC91" s="26"/>
      <c r="BD91" s="26"/>
      <c r="BE91" s="26"/>
      <c r="BF91" s="26"/>
      <c r="BG91" s="26"/>
      <c r="BH91" s="26"/>
      <c r="BI91" s="26"/>
      <c r="BJ91" s="26"/>
      <c r="BK91" s="26"/>
      <c r="BL91" s="26"/>
      <c r="BM91" s="26"/>
      <c r="BN91" s="26"/>
      <c r="BO91" s="26"/>
      <c r="BP91" s="26"/>
      <c r="BQ91" s="26"/>
      <c r="BR91" s="26"/>
      <c r="BS91" s="26"/>
      <c r="BT91" s="26"/>
      <c r="BU91" s="26"/>
      <c r="BV91" s="26"/>
      <c r="BW91" s="26"/>
      <c r="BX91" s="26"/>
      <c r="BY91" s="26"/>
      <c r="BZ91" s="26"/>
      <c r="CA91" s="26"/>
      <c r="CB91" s="26"/>
      <c r="CC91" s="26"/>
      <c r="CD91" s="26"/>
      <c r="CE91" s="26"/>
      <c r="CF91" s="26"/>
      <c r="CG91" s="26"/>
      <c r="CH91" s="26"/>
      <c r="CI91" s="26"/>
      <c r="CJ91" s="26"/>
      <c r="CK91" s="26"/>
      <c r="CL91" s="26"/>
      <c r="CM91" s="26"/>
      <c r="CN91" s="26"/>
      <c r="CO91" s="26"/>
      <c r="CP91" s="26"/>
      <c r="CQ91" s="26"/>
      <c r="CR91" s="26"/>
      <c r="CS91" s="26"/>
      <c r="CT91" s="26"/>
      <c r="CU91" s="26"/>
      <c r="CV91" s="26"/>
      <c r="CW91" s="26"/>
      <c r="CX91" s="26"/>
      <c r="CY91" s="26"/>
      <c r="CZ91" s="26"/>
      <c r="DA91" s="26"/>
    </row>
    <row r="92" spans="1:105" s="29" customFormat="1" outlineLevel="1" x14ac:dyDescent="0.2">
      <c r="A92" s="189" t="s">
        <v>154</v>
      </c>
      <c r="B92" s="200"/>
      <c r="C92" s="193"/>
      <c r="D92" s="134"/>
      <c r="E92" s="134"/>
      <c r="F92" s="134"/>
      <c r="G92" s="192"/>
      <c r="H92" s="57"/>
      <c r="I92" s="155"/>
      <c r="J92" s="155"/>
      <c r="K92" s="155"/>
      <c r="L92" s="157"/>
      <c r="M92" s="155"/>
      <c r="N92" s="57"/>
      <c r="O92" s="155"/>
      <c r="P92" s="155"/>
      <c r="Q92" s="155"/>
      <c r="R92" s="157"/>
      <c r="S92" s="155"/>
      <c r="T92" s="57"/>
      <c r="U92" s="155"/>
      <c r="V92" s="155"/>
      <c r="W92" s="155"/>
      <c r="X92" s="157"/>
      <c r="Y92" s="155"/>
      <c r="Z92" s="57"/>
      <c r="AA92" s="155"/>
      <c r="AB92" s="155"/>
      <c r="AC92" s="155"/>
      <c r="AD92" s="157"/>
      <c r="AE92" s="155"/>
      <c r="AF92" s="57"/>
      <c r="AG92" s="155"/>
      <c r="AH92" s="155"/>
      <c r="AI92" s="155"/>
      <c r="AJ92" s="157"/>
      <c r="AK92" s="155"/>
      <c r="AL92" s="57"/>
      <c r="AM92" s="155"/>
      <c r="AN92" s="155"/>
      <c r="AO92" s="155"/>
      <c r="AP92" s="157"/>
      <c r="AQ92" s="155"/>
      <c r="AR92" s="57"/>
      <c r="AS92" s="82">
        <f>SUM(AF92,Z92,T92,N92,H92,AL92,AR92)</f>
        <v>0</v>
      </c>
      <c r="AT92" s="122" t="str">
        <f>A92</f>
        <v>Direct costs of Subcontractor</v>
      </c>
      <c r="AU92" s="28"/>
      <c r="AV92" s="32"/>
      <c r="AW92" s="33"/>
      <c r="AX92" s="34"/>
      <c r="AY92" s="24"/>
      <c r="AZ92" s="25"/>
      <c r="BA92" s="26"/>
    </row>
    <row r="93" spans="1:105" s="26" customFormat="1" ht="13.5" outlineLevel="1" thickBot="1" x14ac:dyDescent="0.25">
      <c r="A93" s="189" t="s">
        <v>155</v>
      </c>
      <c r="B93" s="200"/>
      <c r="C93" s="193"/>
      <c r="D93" s="135"/>
      <c r="E93" s="135"/>
      <c r="F93" s="134"/>
      <c r="G93" s="192"/>
      <c r="H93" s="59"/>
      <c r="I93" s="155"/>
      <c r="J93" s="155"/>
      <c r="K93" s="155"/>
      <c r="L93" s="157"/>
      <c r="M93" s="155"/>
      <c r="N93" s="59"/>
      <c r="O93" s="155"/>
      <c r="P93" s="155"/>
      <c r="Q93" s="155"/>
      <c r="R93" s="157"/>
      <c r="S93" s="155"/>
      <c r="T93" s="59"/>
      <c r="U93" s="155"/>
      <c r="V93" s="155"/>
      <c r="W93" s="155"/>
      <c r="X93" s="157"/>
      <c r="Y93" s="155"/>
      <c r="Z93" s="59"/>
      <c r="AA93" s="155"/>
      <c r="AB93" s="155"/>
      <c r="AC93" s="155"/>
      <c r="AD93" s="157"/>
      <c r="AE93" s="155"/>
      <c r="AF93" s="59"/>
      <c r="AG93" s="155"/>
      <c r="AH93" s="155"/>
      <c r="AI93" s="155"/>
      <c r="AJ93" s="157"/>
      <c r="AK93" s="155"/>
      <c r="AL93" s="59"/>
      <c r="AM93" s="155"/>
      <c r="AN93" s="155"/>
      <c r="AO93" s="155"/>
      <c r="AP93" s="157"/>
      <c r="AQ93" s="155"/>
      <c r="AR93" s="59"/>
      <c r="AS93" s="82">
        <f>SUM(AF93,Z93,T93,N93,H93,AL93,AR93)</f>
        <v>0</v>
      </c>
      <c r="AT93" s="122" t="str">
        <f>A93</f>
        <v>F&amp;A Costs of Subcontractor</v>
      </c>
      <c r="AU93" s="32"/>
      <c r="AV93" s="32"/>
      <c r="AW93" s="33"/>
      <c r="AX93" s="34"/>
      <c r="AY93" s="24"/>
      <c r="AZ93" s="25"/>
    </row>
    <row r="94" spans="1:105" s="27" customFormat="1" ht="13.5" outlineLevel="1" thickBot="1" x14ac:dyDescent="0.25">
      <c r="A94" s="202" t="s">
        <v>184</v>
      </c>
      <c r="B94" s="203"/>
      <c r="C94" s="440" t="s">
        <v>157</v>
      </c>
      <c r="D94" s="441"/>
      <c r="E94" s="441"/>
      <c r="F94" s="441"/>
      <c r="G94" s="107">
        <f>IF(H94&gt;=25000,25000,H94)</f>
        <v>0</v>
      </c>
      <c r="H94" s="112">
        <f>ROUND(SUM(H92:H93),0)</f>
        <v>0</v>
      </c>
      <c r="I94" s="387" t="s">
        <v>157</v>
      </c>
      <c r="J94" s="388"/>
      <c r="K94" s="388"/>
      <c r="L94" s="388"/>
      <c r="M94" s="108">
        <f>IF((N94+G94)&gt;=25000,25000-G94,N94)</f>
        <v>0</v>
      </c>
      <c r="N94" s="112">
        <f>ROUND(SUM(N92:N93),0)</f>
        <v>0</v>
      </c>
      <c r="O94" s="387" t="s">
        <v>157</v>
      </c>
      <c r="P94" s="388"/>
      <c r="Q94" s="388"/>
      <c r="R94" s="388"/>
      <c r="S94" s="108">
        <f>IF((T94+M94+G94)&gt;=25000,25000-M94-G94,T94)</f>
        <v>0</v>
      </c>
      <c r="T94" s="112">
        <f>ROUND(SUM(T92:T93),0)</f>
        <v>0</v>
      </c>
      <c r="U94" s="387" t="s">
        <v>157</v>
      </c>
      <c r="V94" s="388"/>
      <c r="W94" s="388"/>
      <c r="X94" s="388"/>
      <c r="Y94" s="108">
        <f>IF((Z94+S94+M94+G94)&gt;=25000,25000-S94-M94-G94,Z94)</f>
        <v>0</v>
      </c>
      <c r="Z94" s="112">
        <f>ROUND(SUM(Z92:Z93),0)</f>
        <v>0</v>
      </c>
      <c r="AA94" s="387" t="s">
        <v>157</v>
      </c>
      <c r="AB94" s="388"/>
      <c r="AC94" s="388"/>
      <c r="AD94" s="388"/>
      <c r="AE94" s="114">
        <f>IF((AF94+Y94+S94+M94+G94)&gt;=25000,25000-Y94-S94-M94-G94,AF94)</f>
        <v>0</v>
      </c>
      <c r="AF94" s="112">
        <f>ROUND(SUM(AF92:AF93),0)</f>
        <v>0</v>
      </c>
      <c r="AG94" s="387" t="s">
        <v>157</v>
      </c>
      <c r="AH94" s="388"/>
      <c r="AI94" s="388"/>
      <c r="AJ94" s="388"/>
      <c r="AK94" s="108">
        <f>IF((AL94+AE94+Y94+S94+M94)&gt;=25000,25000-AE94-Y94-S94-M94,AL94)</f>
        <v>0</v>
      </c>
      <c r="AL94" s="112">
        <f>ROUND(SUM(AL92:AL93),0)</f>
        <v>0</v>
      </c>
      <c r="AM94" s="387" t="s">
        <v>157</v>
      </c>
      <c r="AN94" s="388"/>
      <c r="AO94" s="388"/>
      <c r="AP94" s="388"/>
      <c r="AQ94" s="114">
        <f>IF((AR94+AK94+AE94+Y94+S94+M94+G94)&gt;=25000,25000-AK94-AE94-Y94-S94-M94-G94,AR94)</f>
        <v>0</v>
      </c>
      <c r="AR94" s="112">
        <f>ROUND(SUM(AR92:AR93),0)</f>
        <v>0</v>
      </c>
      <c r="AS94" s="83">
        <f>SUM(AS92:AS93)</f>
        <v>0</v>
      </c>
      <c r="AT94" s="118" t="s">
        <v>185</v>
      </c>
      <c r="AU94" s="32"/>
      <c r="AV94" s="32"/>
      <c r="AW94" s="33"/>
      <c r="AX94" s="34"/>
      <c r="AY94" s="24"/>
      <c r="AZ94" s="25"/>
      <c r="BA94" s="26"/>
      <c r="BB94" s="26"/>
      <c r="BC94" s="26"/>
      <c r="BD94" s="26"/>
      <c r="BE94" s="26"/>
      <c r="BF94" s="26"/>
      <c r="BG94" s="26"/>
      <c r="BH94" s="26"/>
      <c r="BI94" s="26"/>
      <c r="BJ94" s="26"/>
      <c r="BK94" s="26"/>
      <c r="BL94" s="26"/>
      <c r="BM94" s="26"/>
      <c r="BN94" s="26"/>
      <c r="BO94" s="26"/>
      <c r="BP94" s="26"/>
      <c r="BQ94" s="26"/>
      <c r="BR94" s="26"/>
      <c r="BS94" s="26"/>
      <c r="BT94" s="26"/>
      <c r="BU94" s="26"/>
      <c r="BV94" s="26"/>
      <c r="BW94" s="26"/>
      <c r="BX94" s="26"/>
      <c r="BY94" s="26"/>
      <c r="BZ94" s="26"/>
      <c r="CA94" s="26"/>
      <c r="CB94" s="26"/>
      <c r="CC94" s="26"/>
      <c r="CD94" s="26"/>
      <c r="CE94" s="26"/>
      <c r="CF94" s="26"/>
      <c r="CG94" s="26"/>
      <c r="CH94" s="26"/>
      <c r="CI94" s="26"/>
      <c r="CJ94" s="26"/>
      <c r="CK94" s="26"/>
      <c r="CL94" s="26"/>
      <c r="CM94" s="26"/>
      <c r="CN94" s="26"/>
      <c r="CO94" s="26"/>
      <c r="CP94" s="26"/>
      <c r="CQ94" s="26"/>
      <c r="CR94" s="26"/>
      <c r="CS94" s="26"/>
      <c r="CT94" s="26"/>
      <c r="CU94" s="26"/>
      <c r="CV94" s="26"/>
      <c r="CW94" s="26"/>
      <c r="CX94" s="26"/>
      <c r="CY94" s="26"/>
      <c r="CZ94" s="26"/>
      <c r="DA94" s="26"/>
    </row>
    <row r="95" spans="1:105" s="26" customFormat="1" ht="13.5" thickTop="1" x14ac:dyDescent="0.2">
      <c r="A95" s="84" t="s">
        <v>92</v>
      </c>
      <c r="B95" s="73"/>
      <c r="C95" s="438"/>
      <c r="D95" s="439"/>
      <c r="E95" s="439"/>
      <c r="F95" s="439"/>
      <c r="G95" s="439"/>
      <c r="H95" s="85" t="s">
        <v>72</v>
      </c>
      <c r="I95" s="389"/>
      <c r="J95" s="390"/>
      <c r="K95" s="390"/>
      <c r="L95" s="390"/>
      <c r="M95" s="390"/>
      <c r="N95" s="85" t="s">
        <v>73</v>
      </c>
      <c r="O95" s="389"/>
      <c r="P95" s="390"/>
      <c r="Q95" s="390"/>
      <c r="R95" s="390"/>
      <c r="S95" s="390"/>
      <c r="T95" s="85" t="s">
        <v>74</v>
      </c>
      <c r="U95" s="389"/>
      <c r="V95" s="390"/>
      <c r="W95" s="390"/>
      <c r="X95" s="390"/>
      <c r="Y95" s="390"/>
      <c r="Z95" s="85" t="s">
        <v>75</v>
      </c>
      <c r="AA95" s="389"/>
      <c r="AB95" s="390"/>
      <c r="AC95" s="390"/>
      <c r="AD95" s="390"/>
      <c r="AE95" s="391"/>
      <c r="AF95" s="86" t="s">
        <v>76</v>
      </c>
      <c r="AG95" s="389"/>
      <c r="AH95" s="390"/>
      <c r="AI95" s="390"/>
      <c r="AJ95" s="390"/>
      <c r="AK95" s="391"/>
      <c r="AL95" s="86" t="s">
        <v>77</v>
      </c>
      <c r="AM95" s="389"/>
      <c r="AN95" s="390"/>
      <c r="AO95" s="390"/>
      <c r="AP95" s="390"/>
      <c r="AQ95" s="391"/>
      <c r="AR95" s="86" t="s">
        <v>78</v>
      </c>
      <c r="AS95" s="87" t="s">
        <v>186</v>
      </c>
      <c r="AT95" s="129"/>
      <c r="AU95" s="32"/>
      <c r="AV95" s="42"/>
      <c r="AW95" s="42"/>
      <c r="AX95" s="2"/>
      <c r="AY95" s="3"/>
      <c r="AZ95" s="4"/>
      <c r="BA95" s="4"/>
    </row>
    <row r="96" spans="1:105" x14ac:dyDescent="0.2">
      <c r="A96" s="285"/>
      <c r="B96" s="286"/>
      <c r="C96" s="286"/>
      <c r="D96" s="286"/>
      <c r="E96" s="286"/>
      <c r="F96" s="286"/>
      <c r="G96" s="285" t="s">
        <v>187</v>
      </c>
      <c r="H96" s="287">
        <f>SUM(H53,H40,H33,H30,H27,H58,H62,H66,H70,H74,H78,H82,H86,H90,H94)</f>
        <v>0</v>
      </c>
      <c r="I96" s="288"/>
      <c r="J96" s="289"/>
      <c r="K96" s="289"/>
      <c r="L96" s="289"/>
      <c r="M96" s="285" t="s">
        <v>187</v>
      </c>
      <c r="N96" s="287">
        <f>SUM(N53,N40,N33,N30,N27,N58,N62,N66,N70,N74,N78,N82,N86,N90,N94)</f>
        <v>0</v>
      </c>
      <c r="O96" s="288"/>
      <c r="P96" s="289"/>
      <c r="Q96" s="289"/>
      <c r="R96" s="289"/>
      <c r="S96" s="285" t="s">
        <v>187</v>
      </c>
      <c r="T96" s="287">
        <f>SUM(T53,T40,T33,T30,T27,T58,T62,T66,T70,T74,T78,T82,T86,T90,T94)</f>
        <v>0</v>
      </c>
      <c r="U96" s="288"/>
      <c r="V96" s="289"/>
      <c r="W96" s="289"/>
      <c r="X96" s="289"/>
      <c r="Y96" s="285" t="s">
        <v>187</v>
      </c>
      <c r="Z96" s="287">
        <f>SUM(Z53,Z40,Z33,Z30,Z27,Z58,Z62,Z66,Z70,Z74,Z78,Z82,Z86,Z90,Z94)</f>
        <v>0</v>
      </c>
      <c r="AA96" s="288"/>
      <c r="AB96" s="289"/>
      <c r="AC96" s="289"/>
      <c r="AD96" s="289"/>
      <c r="AE96" s="285" t="s">
        <v>187</v>
      </c>
      <c r="AF96" s="287">
        <f>SUM(AF53,AF40,AF33,AF30,AF27,AF58,AF62,AF66,AF70,AF74,AF78,AF82,AF86,AF90,AF94)</f>
        <v>0</v>
      </c>
      <c r="AG96" s="288"/>
      <c r="AH96" s="289"/>
      <c r="AI96" s="289"/>
      <c r="AJ96" s="289"/>
      <c r="AK96" s="285" t="s">
        <v>187</v>
      </c>
      <c r="AL96" s="287">
        <f>SUM(AL53,AL40,AL33,AL30,AL27,AL58,AL62,AL66,AL70,AL74,AL78,AL82,AL86,AL90,AL94)</f>
        <v>0</v>
      </c>
      <c r="AM96" s="288"/>
      <c r="AN96" s="289"/>
      <c r="AO96" s="289"/>
      <c r="AP96" s="289"/>
      <c r="AQ96" s="285" t="s">
        <v>187</v>
      </c>
      <c r="AR96" s="88">
        <f>SUM(AR53,AR40,AR33,AR30,AR27,AR58,AR62,AR66,AR70,AR74,AR78,AR82,AR86,AR90,AR94)</f>
        <v>0</v>
      </c>
      <c r="AS96" s="89">
        <f>H96+N96+T96+Z96+AF96+AL96+AR96</f>
        <v>0</v>
      </c>
      <c r="AT96" s="130" t="s">
        <v>187</v>
      </c>
      <c r="AU96" s="42"/>
      <c r="AV96" s="42"/>
      <c r="AW96" s="42"/>
    </row>
    <row r="97" spans="1:53" x14ac:dyDescent="0.2">
      <c r="A97" s="337" t="s">
        <v>188</v>
      </c>
      <c r="B97" s="286"/>
      <c r="C97" s="286"/>
      <c r="D97" s="286"/>
      <c r="E97" s="286"/>
      <c r="F97" s="286"/>
      <c r="G97" s="285" t="s">
        <v>189</v>
      </c>
      <c r="H97" s="290">
        <f>H96-H57-H61-H65-H69-H73-H77-H81-H85-H89-H93</f>
        <v>0</v>
      </c>
      <c r="I97" s="288"/>
      <c r="J97" s="289"/>
      <c r="K97" s="289"/>
      <c r="L97" s="289"/>
      <c r="M97" s="288" t="s">
        <v>190</v>
      </c>
      <c r="N97" s="290">
        <f>N96-N57-N61-N65-N69-N73-N77-N81-N85-N89-N93</f>
        <v>0</v>
      </c>
      <c r="O97" s="288"/>
      <c r="P97" s="289"/>
      <c r="Q97" s="289"/>
      <c r="R97" s="289"/>
      <c r="S97" s="288" t="s">
        <v>190</v>
      </c>
      <c r="T97" s="290">
        <f>T96-T57-T61-T65-T69-T73-T77-T81-T85-T89-T93</f>
        <v>0</v>
      </c>
      <c r="U97" s="288"/>
      <c r="V97" s="289"/>
      <c r="W97" s="289"/>
      <c r="X97" s="289"/>
      <c r="Y97" s="288" t="s">
        <v>190</v>
      </c>
      <c r="Z97" s="290">
        <f>Z96-Z57-Z61-Z65-Z69-Z73-Z77-Z81-Z85-Z89-Z93</f>
        <v>0</v>
      </c>
      <c r="AA97" s="288"/>
      <c r="AB97" s="289"/>
      <c r="AC97" s="289"/>
      <c r="AD97" s="289"/>
      <c r="AE97" s="288" t="s">
        <v>190</v>
      </c>
      <c r="AF97" s="290">
        <f>AF96-AF57-AF61-AF65-AF69-AF73-AF77-AF81-AF85-AF89-AF93</f>
        <v>0</v>
      </c>
      <c r="AG97" s="288"/>
      <c r="AH97" s="289"/>
      <c r="AI97" s="289"/>
      <c r="AJ97" s="289"/>
      <c r="AK97" s="288" t="s">
        <v>190</v>
      </c>
      <c r="AL97" s="290">
        <f>AL96-AL57-AL61-AL65-AL69-AL73-AL77-AL81-AL85-AL89-AL93</f>
        <v>0</v>
      </c>
      <c r="AM97" s="288"/>
      <c r="AN97" s="289"/>
      <c r="AO97" s="289"/>
      <c r="AP97" s="289"/>
      <c r="AQ97" s="242" t="s">
        <v>190</v>
      </c>
      <c r="AR97" s="90">
        <f>AR96-AR57-AR61-AR65-AR69-AR73-AR77-AR81-AR85-AR89-AR93</f>
        <v>0</v>
      </c>
      <c r="AS97" s="89">
        <f t="shared" ref="AS97:AS99" si="39">H97+N97+T97+Z97+AF97+AL97+AR97</f>
        <v>0</v>
      </c>
      <c r="AT97" s="130" t="s">
        <v>190</v>
      </c>
      <c r="AU97" s="42"/>
      <c r="AV97" s="42"/>
      <c r="AW97" s="42"/>
    </row>
    <row r="98" spans="1:53" x14ac:dyDescent="0.2">
      <c r="A98" s="285"/>
      <c r="B98" s="286"/>
      <c r="C98" s="286"/>
      <c r="D98" s="286"/>
      <c r="E98" s="286"/>
      <c r="F98" s="286"/>
      <c r="G98" s="285" t="s">
        <v>191</v>
      </c>
      <c r="H98" s="290">
        <f>IF($B$99="TDC",0,SUM(H27,H33,H53,G58,G62,G66,G70,G74,G78,G82,G86,G90,G94)-SUM(H45:H46))</f>
        <v>0</v>
      </c>
      <c r="I98" s="288"/>
      <c r="J98" s="289"/>
      <c r="K98" s="289"/>
      <c r="L98" s="289"/>
      <c r="M98" s="285" t="s">
        <v>191</v>
      </c>
      <c r="N98" s="290">
        <f>IF($B$99="TDC",0,SUM(N27,N33,N53,M58,M62,M66,M70,M74,M78,M82,M86,M90,M94)-SUM(N45:N46))</f>
        <v>0</v>
      </c>
      <c r="O98" s="288"/>
      <c r="P98" s="289"/>
      <c r="Q98" s="289"/>
      <c r="R98" s="289"/>
      <c r="S98" s="285" t="s">
        <v>191</v>
      </c>
      <c r="T98" s="290">
        <f>IF($B$99="TDC",0,SUM(T27,T33,T53,S58,S62,S66,S70,S74,S78,S82,S86,S90,S94)-SUM(T45:T46))</f>
        <v>0</v>
      </c>
      <c r="U98" s="288"/>
      <c r="V98" s="289"/>
      <c r="W98" s="289"/>
      <c r="X98" s="289"/>
      <c r="Y98" s="285" t="s">
        <v>191</v>
      </c>
      <c r="Z98" s="290">
        <f>IF($B$99="TDC",0,SUM(Z27,Z33,Z53,Y58,Y62,Y66,Y70,Y74,Y78,Y82,Y86,Y90,Y94)-SUM(Z45:Z46))</f>
        <v>0</v>
      </c>
      <c r="AA98" s="288"/>
      <c r="AB98" s="289"/>
      <c r="AC98" s="289"/>
      <c r="AD98" s="289"/>
      <c r="AE98" s="285" t="s">
        <v>191</v>
      </c>
      <c r="AF98" s="290">
        <f>IF($B$99="TDC",0,SUM(AF27,AF33,AF53,AE58,AE62,AE66,AE70,AE74,AE78,AE82,AE86,AE90,AE94)-SUM(AF45:AF46))</f>
        <v>0</v>
      </c>
      <c r="AG98" s="288"/>
      <c r="AH98" s="289"/>
      <c r="AI98" s="289"/>
      <c r="AJ98" s="289"/>
      <c r="AK98" s="285" t="s">
        <v>191</v>
      </c>
      <c r="AL98" s="290">
        <f>IF($B$99="TDC",0,SUM(AL27,AL33,AL53,AK58,AK62,AK66,AK70,AK74,AK78,AK82,AK86,AK90,AK94)-SUM(AL45:AL46))</f>
        <v>0</v>
      </c>
      <c r="AM98" s="288"/>
      <c r="AN98" s="289"/>
      <c r="AO98" s="289"/>
      <c r="AP98" s="289"/>
      <c r="AQ98" s="285" t="s">
        <v>191</v>
      </c>
      <c r="AR98" s="290">
        <f>IF($B$99="TDC",0,SUM(AR27,AR33,AR53,AQ58,AQ62,AQ66,AQ70,AQ74,AQ78,AQ82,AQ86,AQ90,AQ94)-SUM(AR45:AR46))</f>
        <v>0</v>
      </c>
      <c r="AS98" s="89">
        <f t="shared" si="39"/>
        <v>0</v>
      </c>
      <c r="AT98" s="130" t="s">
        <v>191</v>
      </c>
      <c r="AU98" s="42"/>
      <c r="AV98" s="42"/>
      <c r="AW98" s="42"/>
    </row>
    <row r="99" spans="1:53" ht="13.5" thickBot="1" x14ac:dyDescent="0.25">
      <c r="A99" s="291" t="s">
        <v>192</v>
      </c>
      <c r="B99" s="299" t="str">
        <f>'START HERE'!B16</f>
        <v>MTDC</v>
      </c>
      <c r="C99" s="292"/>
      <c r="D99" s="292"/>
      <c r="E99" s="292"/>
      <c r="F99" s="292"/>
      <c r="G99" s="291" t="s">
        <v>193</v>
      </c>
      <c r="H99" s="293">
        <f>IF($B$99="MTDC",ROUND($L$9*H98,0),ROUND($L$9*H96,0))</f>
        <v>0</v>
      </c>
      <c r="I99" s="288"/>
      <c r="J99" s="289"/>
      <c r="K99" s="289"/>
      <c r="L99" s="289"/>
      <c r="M99" s="288" t="s">
        <v>193</v>
      </c>
      <c r="N99" s="293">
        <f>IF($B$99="MTDC",ROUND($L$9*N98,0),ROUND($L$9*N96,0))</f>
        <v>0</v>
      </c>
      <c r="O99" s="288"/>
      <c r="P99" s="289"/>
      <c r="Q99" s="289"/>
      <c r="R99" s="289"/>
      <c r="S99" s="288" t="s">
        <v>193</v>
      </c>
      <c r="T99" s="293">
        <f>IF($B$99="MTDC",ROUND($L$9*T98,0),ROUND($L$9*T96,0))</f>
        <v>0</v>
      </c>
      <c r="U99" s="288"/>
      <c r="V99" s="289"/>
      <c r="W99" s="289"/>
      <c r="X99" s="289"/>
      <c r="Y99" s="288" t="s">
        <v>193</v>
      </c>
      <c r="Z99" s="293">
        <f>IF($B$99="MTDC",ROUND($L$9*Z98,0),ROUND($L$9*Z96,0))</f>
        <v>0</v>
      </c>
      <c r="AA99" s="288"/>
      <c r="AB99" s="289"/>
      <c r="AC99" s="289"/>
      <c r="AD99" s="289"/>
      <c r="AE99" s="288" t="s">
        <v>193</v>
      </c>
      <c r="AF99" s="293">
        <f>IF($B$99="MTDC",ROUND($L$9*AF98,0),ROUND($L$9*AF96,0))</f>
        <v>0</v>
      </c>
      <c r="AG99" s="288"/>
      <c r="AH99" s="289"/>
      <c r="AI99" s="289"/>
      <c r="AJ99" s="289"/>
      <c r="AK99" s="288" t="s">
        <v>193</v>
      </c>
      <c r="AL99" s="293">
        <f>IF($B$99="MTDC",ROUND($L$9*AL98,0),ROUND($L$9*AL96,0))</f>
        <v>0</v>
      </c>
      <c r="AM99" s="288"/>
      <c r="AN99" s="289"/>
      <c r="AO99" s="289"/>
      <c r="AP99" s="289"/>
      <c r="AQ99" s="242" t="s">
        <v>193</v>
      </c>
      <c r="AR99" s="293">
        <f>IF($B$99="MTDC",ROUND($L$9*AR98,0),ROUND($L$9*AR96,0))</f>
        <v>0</v>
      </c>
      <c r="AS99" s="89">
        <f t="shared" si="39"/>
        <v>0</v>
      </c>
      <c r="AT99" s="130" t="s">
        <v>193</v>
      </c>
      <c r="AU99" s="42"/>
      <c r="AV99" s="42"/>
      <c r="AW99" s="42"/>
      <c r="AX99" s="9"/>
      <c r="AY99" s="10"/>
      <c r="AZ99" s="10"/>
      <c r="BA99" s="10"/>
    </row>
    <row r="100" spans="1:53" s="10" customFormat="1" ht="13.5" thickBot="1" x14ac:dyDescent="0.25">
      <c r="A100" s="294"/>
      <c r="B100" s="295"/>
      <c r="C100" s="295"/>
      <c r="D100" s="295"/>
      <c r="E100" s="295"/>
      <c r="F100" s="295"/>
      <c r="G100" s="294" t="s">
        <v>194</v>
      </c>
      <c r="H100" s="296">
        <f>H96+H99</f>
        <v>0</v>
      </c>
      <c r="I100" s="297"/>
      <c r="J100" s="298"/>
      <c r="K100" s="298"/>
      <c r="L100" s="298"/>
      <c r="M100" s="297" t="s">
        <v>194</v>
      </c>
      <c r="N100" s="296">
        <f>N96+N99</f>
        <v>0</v>
      </c>
      <c r="O100" s="297"/>
      <c r="P100" s="298"/>
      <c r="Q100" s="298"/>
      <c r="R100" s="298"/>
      <c r="S100" s="297" t="s">
        <v>194</v>
      </c>
      <c r="T100" s="296">
        <f>T96+T99</f>
        <v>0</v>
      </c>
      <c r="U100" s="297"/>
      <c r="V100" s="298"/>
      <c r="W100" s="298"/>
      <c r="X100" s="298"/>
      <c r="Y100" s="297" t="s">
        <v>194</v>
      </c>
      <c r="Z100" s="296">
        <f>Z96+Z99</f>
        <v>0</v>
      </c>
      <c r="AA100" s="297"/>
      <c r="AB100" s="298"/>
      <c r="AC100" s="298"/>
      <c r="AD100" s="298"/>
      <c r="AE100" s="297" t="s">
        <v>194</v>
      </c>
      <c r="AF100" s="296">
        <f>AF96+AF99</f>
        <v>0</v>
      </c>
      <c r="AG100" s="297"/>
      <c r="AH100" s="298"/>
      <c r="AI100" s="298"/>
      <c r="AJ100" s="298"/>
      <c r="AK100" s="297" t="s">
        <v>194</v>
      </c>
      <c r="AL100" s="296">
        <f>AL96+AL99</f>
        <v>0</v>
      </c>
      <c r="AM100" s="297"/>
      <c r="AN100" s="298"/>
      <c r="AO100" s="298"/>
      <c r="AP100" s="298"/>
      <c r="AQ100" s="243" t="s">
        <v>194</v>
      </c>
      <c r="AR100" s="83">
        <f>AR96+AR99</f>
        <v>0</v>
      </c>
      <c r="AS100" s="91">
        <f>H100+N100+T100+Z100+AF100+AL100+AR100</f>
        <v>0</v>
      </c>
      <c r="AT100" s="131" t="s">
        <v>194</v>
      </c>
      <c r="AU100" s="42"/>
      <c r="AV100" s="4"/>
      <c r="AW100" s="1"/>
      <c r="AX100" s="2"/>
      <c r="AY100" s="3"/>
      <c r="AZ100" s="4"/>
      <c r="BA100" s="4"/>
    </row>
    <row r="101" spans="1:53" x14ac:dyDescent="0.2">
      <c r="G101" s="43"/>
      <c r="H101" s="43"/>
      <c r="I101" s="43"/>
      <c r="J101" s="43"/>
      <c r="K101" s="43"/>
      <c r="L101" s="43"/>
      <c r="M101" s="43"/>
      <c r="N101" s="43"/>
      <c r="O101" s="43"/>
      <c r="P101" s="43"/>
      <c r="Q101" s="43"/>
      <c r="R101" s="43"/>
      <c r="S101" s="43"/>
      <c r="T101" s="43"/>
      <c r="U101" s="43"/>
      <c r="V101" s="43"/>
      <c r="W101" s="43"/>
      <c r="X101" s="43"/>
      <c r="Y101" s="43"/>
      <c r="Z101" s="43"/>
      <c r="AA101" s="43"/>
      <c r="AB101" s="43"/>
      <c r="AC101" s="43"/>
      <c r="AD101" s="43"/>
      <c r="AE101" s="43"/>
      <c r="AF101" s="43"/>
      <c r="AG101" s="43"/>
      <c r="AH101" s="43"/>
      <c r="AI101" s="43"/>
      <c r="AJ101" s="43"/>
      <c r="AK101" s="43"/>
      <c r="AL101" s="43"/>
      <c r="AM101" s="43"/>
      <c r="AN101" s="43"/>
      <c r="AO101" s="43"/>
      <c r="AP101" s="43"/>
      <c r="AQ101" s="43"/>
      <c r="AR101" s="43"/>
      <c r="AS101" s="4"/>
    </row>
    <row r="102" spans="1:53" x14ac:dyDescent="0.2">
      <c r="G102" s="43"/>
      <c r="H102" s="43"/>
      <c r="I102" s="43"/>
      <c r="J102" s="43"/>
      <c r="K102" s="43"/>
      <c r="L102" s="43"/>
      <c r="M102" s="43"/>
      <c r="N102" s="43"/>
      <c r="O102" s="43"/>
      <c r="P102" s="43"/>
      <c r="Q102" s="43"/>
      <c r="R102" s="43"/>
      <c r="S102" s="43"/>
      <c r="T102" s="43"/>
      <c r="U102" s="43"/>
      <c r="V102" s="43"/>
      <c r="W102" s="43"/>
      <c r="X102" s="43"/>
      <c r="Y102" s="43"/>
      <c r="Z102" s="43"/>
      <c r="AA102" s="43"/>
      <c r="AB102" s="43"/>
      <c r="AC102" s="43"/>
      <c r="AD102" s="43"/>
      <c r="AE102" s="43"/>
      <c r="AF102" s="43"/>
      <c r="AG102" s="43"/>
      <c r="AH102" s="43"/>
      <c r="AI102" s="43"/>
      <c r="AJ102" s="43"/>
      <c r="AK102" s="43"/>
      <c r="AL102" s="43"/>
      <c r="AM102" s="43"/>
      <c r="AN102" s="43"/>
      <c r="AO102" s="43"/>
      <c r="AP102" s="43"/>
      <c r="AQ102" s="43"/>
      <c r="AR102" s="43"/>
      <c r="AS102" s="4"/>
    </row>
    <row r="103" spans="1:53" x14ac:dyDescent="0.2">
      <c r="Y103" s="45"/>
      <c r="AS103" s="4"/>
    </row>
    <row r="104" spans="1:53" x14ac:dyDescent="0.2">
      <c r="A104" s="349" t="s">
        <v>195</v>
      </c>
      <c r="B104" s="342"/>
      <c r="C104" s="342"/>
      <c r="D104" s="342"/>
      <c r="E104" s="342"/>
      <c r="F104" s="342"/>
      <c r="G104" s="342"/>
      <c r="H104" s="342"/>
      <c r="I104" s="342"/>
      <c r="J104" s="342"/>
      <c r="K104" s="342"/>
      <c r="L104" s="342"/>
      <c r="M104" s="342"/>
      <c r="N104" s="342"/>
      <c r="O104" s="342"/>
      <c r="P104" s="342"/>
      <c r="Q104" s="342"/>
      <c r="R104" s="342"/>
      <c r="S104" s="342"/>
      <c r="T104" s="342"/>
      <c r="U104" s="342"/>
      <c r="V104" s="342"/>
      <c r="W104" s="342"/>
      <c r="X104" s="342"/>
      <c r="Y104" s="350"/>
      <c r="Z104" s="342"/>
      <c r="AA104" s="342"/>
      <c r="AB104" s="342"/>
      <c r="AC104" s="342"/>
      <c r="AD104" s="342"/>
      <c r="AE104" s="342"/>
      <c r="AF104" s="342"/>
      <c r="AG104" s="342"/>
      <c r="AH104" s="342"/>
      <c r="AI104" s="342"/>
      <c r="AJ104" s="342"/>
      <c r="AK104" s="342"/>
      <c r="AL104" s="342"/>
      <c r="AM104" s="342"/>
      <c r="AN104" s="342"/>
      <c r="AO104" s="342"/>
      <c r="AP104" s="342"/>
      <c r="AQ104" s="342"/>
      <c r="AR104" s="342"/>
      <c r="AS104" s="342"/>
      <c r="AT104" s="342"/>
    </row>
    <row r="105" spans="1:53" x14ac:dyDescent="0.2">
      <c r="AS105" s="4"/>
    </row>
    <row r="106" spans="1:53" outlineLevel="1" x14ac:dyDescent="0.2">
      <c r="A106" s="271" t="s">
        <v>196</v>
      </c>
      <c r="Y106" s="46"/>
      <c r="AS106" s="4"/>
      <c r="AT106" s="44"/>
    </row>
    <row r="107" spans="1:53" ht="13.5" outlineLevel="1" thickBot="1" x14ac:dyDescent="0.25">
      <c r="A107" s="430" t="s">
        <v>71</v>
      </c>
      <c r="B107" s="342"/>
      <c r="C107" s="392" t="s">
        <v>72</v>
      </c>
      <c r="D107" s="393"/>
      <c r="E107" s="393"/>
      <c r="F107" s="393"/>
      <c r="G107" s="393"/>
      <c r="H107" s="393"/>
      <c r="I107" s="392" t="s">
        <v>73</v>
      </c>
      <c r="J107" s="393"/>
      <c r="K107" s="393"/>
      <c r="L107" s="393"/>
      <c r="M107" s="393"/>
      <c r="N107" s="393"/>
      <c r="O107" s="392" t="s">
        <v>74</v>
      </c>
      <c r="P107" s="393"/>
      <c r="Q107" s="393"/>
      <c r="R107" s="393"/>
      <c r="S107" s="393"/>
      <c r="T107" s="393"/>
      <c r="U107" s="392" t="s">
        <v>75</v>
      </c>
      <c r="V107" s="393"/>
      <c r="W107" s="393"/>
      <c r="X107" s="393"/>
      <c r="Y107" s="393"/>
      <c r="Z107" s="393"/>
      <c r="AA107" s="392" t="s">
        <v>76</v>
      </c>
      <c r="AB107" s="393"/>
      <c r="AC107" s="393"/>
      <c r="AD107" s="393"/>
      <c r="AE107" s="393"/>
      <c r="AF107" s="393"/>
      <c r="AG107" s="392" t="s">
        <v>77</v>
      </c>
      <c r="AH107" s="393"/>
      <c r="AI107" s="393"/>
      <c r="AJ107" s="393"/>
      <c r="AK107" s="393"/>
      <c r="AL107" s="393"/>
      <c r="AM107" s="392" t="s">
        <v>78</v>
      </c>
      <c r="AN107" s="393"/>
      <c r="AO107" s="393"/>
      <c r="AP107" s="393"/>
      <c r="AQ107" s="393"/>
      <c r="AR107" s="393"/>
      <c r="AS107" s="343"/>
      <c r="AT107" s="116"/>
      <c r="AW107" s="4"/>
      <c r="AX107" s="4"/>
      <c r="AY107" s="4"/>
    </row>
    <row r="108" spans="1:53" ht="15.75" customHeight="1" outlineLevel="1" x14ac:dyDescent="0.2">
      <c r="A108" s="430"/>
      <c r="B108" s="431" t="s">
        <v>79</v>
      </c>
      <c r="C108" s="428" t="s">
        <v>80</v>
      </c>
      <c r="D108" s="400" t="s">
        <v>81</v>
      </c>
      <c r="E108" s="398" t="s">
        <v>82</v>
      </c>
      <c r="F108" s="400" t="s">
        <v>197</v>
      </c>
      <c r="G108" s="400" t="s">
        <v>198</v>
      </c>
      <c r="H108" s="402" t="s">
        <v>199</v>
      </c>
      <c r="I108" s="428" t="s">
        <v>80</v>
      </c>
      <c r="J108" s="400" t="s">
        <v>81</v>
      </c>
      <c r="K108" s="398" t="s">
        <v>86</v>
      </c>
      <c r="L108" s="400" t="s">
        <v>197</v>
      </c>
      <c r="M108" s="400" t="s">
        <v>198</v>
      </c>
      <c r="N108" s="402" t="s">
        <v>199</v>
      </c>
      <c r="O108" s="428" t="s">
        <v>80</v>
      </c>
      <c r="P108" s="400" t="s">
        <v>81</v>
      </c>
      <c r="Q108" s="398" t="s">
        <v>87</v>
      </c>
      <c r="R108" s="400" t="s">
        <v>197</v>
      </c>
      <c r="S108" s="400" t="s">
        <v>198</v>
      </c>
      <c r="T108" s="402" t="s">
        <v>199</v>
      </c>
      <c r="U108" s="428" t="s">
        <v>80</v>
      </c>
      <c r="V108" s="400" t="s">
        <v>81</v>
      </c>
      <c r="W108" s="398" t="s">
        <v>88</v>
      </c>
      <c r="X108" s="400" t="s">
        <v>197</v>
      </c>
      <c r="Y108" s="400" t="s">
        <v>198</v>
      </c>
      <c r="Z108" s="402" t="s">
        <v>199</v>
      </c>
      <c r="AA108" s="394" t="s">
        <v>80</v>
      </c>
      <c r="AB108" s="396" t="s">
        <v>81</v>
      </c>
      <c r="AC108" s="398" t="s">
        <v>89</v>
      </c>
      <c r="AD108" s="400" t="s">
        <v>197</v>
      </c>
      <c r="AE108" s="400" t="s">
        <v>198</v>
      </c>
      <c r="AF108" s="402" t="s">
        <v>199</v>
      </c>
      <c r="AG108" s="394" t="s">
        <v>80</v>
      </c>
      <c r="AH108" s="396" t="s">
        <v>81</v>
      </c>
      <c r="AI108" s="398" t="s">
        <v>90</v>
      </c>
      <c r="AJ108" s="400" t="s">
        <v>197</v>
      </c>
      <c r="AK108" s="400" t="s">
        <v>198</v>
      </c>
      <c r="AL108" s="402" t="s">
        <v>199</v>
      </c>
      <c r="AM108" s="394" t="s">
        <v>80</v>
      </c>
      <c r="AN108" s="396" t="s">
        <v>81</v>
      </c>
      <c r="AO108" s="398" t="s">
        <v>91</v>
      </c>
      <c r="AP108" s="400" t="s">
        <v>197</v>
      </c>
      <c r="AQ108" s="400" t="s">
        <v>198</v>
      </c>
      <c r="AR108" s="402" t="s">
        <v>199</v>
      </c>
      <c r="AS108" s="426" t="s">
        <v>92</v>
      </c>
      <c r="AT108" s="120"/>
      <c r="AV108" s="11"/>
      <c r="AW108" s="11"/>
      <c r="AX108" s="11"/>
      <c r="AY108" s="11"/>
      <c r="AZ108" s="11"/>
      <c r="BA108" s="11"/>
    </row>
    <row r="109" spans="1:53" s="11" customFormat="1" outlineLevel="1" x14ac:dyDescent="0.2">
      <c r="A109" s="344" t="s">
        <v>93</v>
      </c>
      <c r="B109" s="432"/>
      <c r="C109" s="433"/>
      <c r="D109" s="401"/>
      <c r="E109" s="399"/>
      <c r="F109" s="401"/>
      <c r="G109" s="401"/>
      <c r="H109" s="403"/>
      <c r="I109" s="429"/>
      <c r="J109" s="401"/>
      <c r="K109" s="399"/>
      <c r="L109" s="401"/>
      <c r="M109" s="401"/>
      <c r="N109" s="403"/>
      <c r="O109" s="429"/>
      <c r="P109" s="401"/>
      <c r="Q109" s="399"/>
      <c r="R109" s="401"/>
      <c r="S109" s="401"/>
      <c r="T109" s="403"/>
      <c r="U109" s="429"/>
      <c r="V109" s="401"/>
      <c r="W109" s="399"/>
      <c r="X109" s="401"/>
      <c r="Y109" s="401"/>
      <c r="Z109" s="403"/>
      <c r="AA109" s="395"/>
      <c r="AB109" s="397"/>
      <c r="AC109" s="399"/>
      <c r="AD109" s="401"/>
      <c r="AE109" s="401"/>
      <c r="AF109" s="403"/>
      <c r="AG109" s="395"/>
      <c r="AH109" s="397"/>
      <c r="AI109" s="399"/>
      <c r="AJ109" s="401"/>
      <c r="AK109" s="401"/>
      <c r="AL109" s="403"/>
      <c r="AM109" s="395"/>
      <c r="AN109" s="397"/>
      <c r="AO109" s="399"/>
      <c r="AP109" s="401"/>
      <c r="AQ109" s="401"/>
      <c r="AR109" s="403"/>
      <c r="AS109" s="427"/>
      <c r="AT109" s="121"/>
      <c r="AV109" s="4"/>
      <c r="AW109" s="1"/>
      <c r="AX109" s="2"/>
      <c r="AY109" s="3"/>
      <c r="AZ109" s="3"/>
      <c r="BA109" s="3"/>
    </row>
    <row r="110" spans="1:53" s="3" customFormat="1" outlineLevel="1" x14ac:dyDescent="0.2">
      <c r="A110" s="345" t="s">
        <v>94</v>
      </c>
      <c r="B110" s="432"/>
      <c r="C110" s="433"/>
      <c r="D110" s="401"/>
      <c r="E110" s="399"/>
      <c r="F110" s="401"/>
      <c r="G110" s="401"/>
      <c r="H110" s="403"/>
      <c r="I110" s="429"/>
      <c r="J110" s="401"/>
      <c r="K110" s="399"/>
      <c r="L110" s="401"/>
      <c r="M110" s="401"/>
      <c r="N110" s="403"/>
      <c r="O110" s="429"/>
      <c r="P110" s="401"/>
      <c r="Q110" s="399"/>
      <c r="R110" s="401"/>
      <c r="S110" s="401"/>
      <c r="T110" s="403"/>
      <c r="U110" s="429"/>
      <c r="V110" s="401"/>
      <c r="W110" s="399"/>
      <c r="X110" s="401"/>
      <c r="Y110" s="401"/>
      <c r="Z110" s="403"/>
      <c r="AA110" s="395"/>
      <c r="AB110" s="397"/>
      <c r="AC110" s="399"/>
      <c r="AD110" s="401"/>
      <c r="AE110" s="401"/>
      <c r="AF110" s="403"/>
      <c r="AG110" s="395"/>
      <c r="AH110" s="397"/>
      <c r="AI110" s="399"/>
      <c r="AJ110" s="401"/>
      <c r="AK110" s="401"/>
      <c r="AL110" s="403"/>
      <c r="AM110" s="395"/>
      <c r="AN110" s="397"/>
      <c r="AO110" s="399"/>
      <c r="AP110" s="401"/>
      <c r="AQ110" s="401"/>
      <c r="AR110" s="403"/>
      <c r="AS110" s="427"/>
      <c r="AT110" s="118" t="s">
        <v>95</v>
      </c>
      <c r="AU110" s="4"/>
      <c r="AV110" s="4"/>
      <c r="AW110" s="1"/>
      <c r="AX110" s="2"/>
    </row>
    <row r="111" spans="1:53" s="3" customFormat="1" outlineLevel="1" x14ac:dyDescent="0.2">
      <c r="A111" s="338" t="str">
        <f t="shared" ref="A111:C111" si="40">A16</f>
        <v>Faculty 1 - 9mo Academic</v>
      </c>
      <c r="B111" s="228">
        <f t="shared" si="40"/>
        <v>0</v>
      </c>
      <c r="C111" s="339">
        <f t="shared" si="40"/>
        <v>0</v>
      </c>
      <c r="D111" s="347">
        <f>9*C111</f>
        <v>0</v>
      </c>
      <c r="E111" s="348">
        <f>B111*(1+$H$11)</f>
        <v>0</v>
      </c>
      <c r="F111" s="340">
        <f>IF(E111&gt;($L$3*9),((C111*E111)-F16),0)</f>
        <v>0</v>
      </c>
      <c r="G111" s="340">
        <f>ROUND(F111*$L$5,0)</f>
        <v>0</v>
      </c>
      <c r="H111" s="341">
        <f t="shared" ref="H111:H113" si="41">ROUND(SUM(F111:G111),0)</f>
        <v>0</v>
      </c>
      <c r="I111" s="339">
        <f>I16</f>
        <v>0</v>
      </c>
      <c r="J111" s="347">
        <f>9*I111</f>
        <v>0</v>
      </c>
      <c r="K111" s="348">
        <f>IF($B$7&gt;1,B111*(1+$H$11)*(1+$N$11),0)</f>
        <v>0</v>
      </c>
      <c r="L111" s="340">
        <f>IF(K111&gt;($L$3*9),((I111*K111)-L16),0)</f>
        <v>0</v>
      </c>
      <c r="M111" s="340">
        <f>ROUND(L111*$L$5,0)</f>
        <v>0</v>
      </c>
      <c r="N111" s="341">
        <f t="shared" ref="N111" si="42">ROUND(SUM(L111:M111),0)</f>
        <v>0</v>
      </c>
      <c r="O111" s="339">
        <f>O16</f>
        <v>0</v>
      </c>
      <c r="P111" s="347">
        <f>9*O111</f>
        <v>0</v>
      </c>
      <c r="Q111" s="348">
        <f>IF($B$7&gt;2,B111*(1+$H$11)*(1+$N$11)*(1+$T$11),0)</f>
        <v>0</v>
      </c>
      <c r="R111" s="340">
        <f>IF(Q111&gt;($L$3*9),((O111*Q111)-R16),0)</f>
        <v>0</v>
      </c>
      <c r="S111" s="340">
        <f>ROUND(R111*$L$5,0)</f>
        <v>0</v>
      </c>
      <c r="T111" s="341">
        <f t="shared" ref="T111:T113" si="43">ROUND(SUM(R111:S111),0)</f>
        <v>0</v>
      </c>
      <c r="U111" s="339">
        <f>U16</f>
        <v>0</v>
      </c>
      <c r="V111" s="347">
        <f>9*U111</f>
        <v>0</v>
      </c>
      <c r="W111" s="348">
        <f>IF($B$7&gt;3,B111*(1+$H$11)*(1+$N$11)*(1+$T$11)*(1+$Z$11),0)</f>
        <v>0</v>
      </c>
      <c r="X111" s="340">
        <f>IF(W111&gt;($L$3*9),((U111*W111)-X16),0)</f>
        <v>0</v>
      </c>
      <c r="Y111" s="340">
        <f>ROUND(X111*$L$5,0)</f>
        <v>0</v>
      </c>
      <c r="Z111" s="341">
        <f t="shared" ref="Z111:Z113" si="44">ROUND(SUM(X111:Y111),0)</f>
        <v>0</v>
      </c>
      <c r="AA111" s="339">
        <f>AA16</f>
        <v>0</v>
      </c>
      <c r="AB111" s="347">
        <f>9*AA111</f>
        <v>0</v>
      </c>
      <c r="AC111" s="348">
        <f>IF($B$7&gt;4,B111*(1+$H$11)*(1+$N$11)*(1+$T$11)*(1+$Z$11)*(1+$AF$11),0)</f>
        <v>0</v>
      </c>
      <c r="AD111" s="340">
        <f>IF(AC111&gt;($L$3*9),((AA111*AC111)-AD16),0)</f>
        <v>0</v>
      </c>
      <c r="AE111" s="340">
        <f>ROUND(AD111*$L$5,0)</f>
        <v>0</v>
      </c>
      <c r="AF111" s="341">
        <f t="shared" ref="AF111:AF113" si="45">ROUND(SUM(AD111:AE111),0)</f>
        <v>0</v>
      </c>
      <c r="AG111" s="339">
        <f>AG16</f>
        <v>0</v>
      </c>
      <c r="AH111" s="347">
        <f>9*AG111</f>
        <v>0</v>
      </c>
      <c r="AI111" s="348">
        <f>AI16</f>
        <v>0</v>
      </c>
      <c r="AJ111" s="340">
        <f>IF(AI111&gt;($L$3*9),((AG111*AI111)-AJ16),0)</f>
        <v>0</v>
      </c>
      <c r="AK111" s="340">
        <f>ROUND(AJ111*$L$5,0)</f>
        <v>0</v>
      </c>
      <c r="AL111" s="341">
        <f t="shared" ref="AL111:AL113" si="46">ROUND(SUM(AJ111:AK111),0)</f>
        <v>0</v>
      </c>
      <c r="AM111" s="339">
        <f>AM16</f>
        <v>0</v>
      </c>
      <c r="AN111" s="347">
        <f>9*AM111</f>
        <v>0</v>
      </c>
      <c r="AO111" s="348">
        <f>AO16</f>
        <v>0</v>
      </c>
      <c r="AP111" s="340">
        <f>IF(AO111&gt;($L$3*9),((AM111*AO111)-AP16),0)</f>
        <v>0</v>
      </c>
      <c r="AQ111" s="340">
        <f>ROUND(AP111*$L$5,0)</f>
        <v>0</v>
      </c>
      <c r="AR111" s="341">
        <f t="shared" ref="AR111:AR113" si="47">ROUND(SUM(AP111:AQ111),0)</f>
        <v>0</v>
      </c>
      <c r="AS111" s="346">
        <f>ROUND(SUM(H111,N111,T111,Z111,AF111,AL111,AR111),0)</f>
        <v>0</v>
      </c>
      <c r="AT111" s="122" t="str">
        <f>A111</f>
        <v>Faculty 1 - 9mo Academic</v>
      </c>
      <c r="AU111" s="4"/>
      <c r="AV111" s="4"/>
      <c r="AW111" s="1"/>
      <c r="AX111" s="2"/>
    </row>
    <row r="112" spans="1:53" s="3" customFormat="1" outlineLevel="1" x14ac:dyDescent="0.2">
      <c r="A112" s="338" t="str">
        <f>A18</f>
        <v>Faculty 2 - 10mo Academic</v>
      </c>
      <c r="B112" s="228">
        <f>B18</f>
        <v>0</v>
      </c>
      <c r="C112" s="339">
        <f>C18</f>
        <v>0</v>
      </c>
      <c r="D112" s="347">
        <f>10*C112</f>
        <v>0</v>
      </c>
      <c r="E112" s="348">
        <f>B112*(1+$H$11)</f>
        <v>0</v>
      </c>
      <c r="F112" s="340">
        <f>IF(E112&gt;($L$3*10),((C112*E112)-F18),0)</f>
        <v>0</v>
      </c>
      <c r="G112" s="340">
        <f>ROUND(F112*$L$5,0)</f>
        <v>0</v>
      </c>
      <c r="H112" s="341">
        <f t="shared" si="41"/>
        <v>0</v>
      </c>
      <c r="I112" s="339">
        <f>I18</f>
        <v>0</v>
      </c>
      <c r="J112" s="347">
        <f>10*I112</f>
        <v>0</v>
      </c>
      <c r="K112" s="348">
        <f>IF($B$7&gt;1,B112*(1+$H$11)*(1+$N$11),0)</f>
        <v>0</v>
      </c>
      <c r="L112" s="340">
        <f>IF(K112&gt;($L$3*10),((I112*K112)-L18),0)</f>
        <v>0</v>
      </c>
      <c r="M112" s="340">
        <f>ROUND(L112*$L$5,0)</f>
        <v>0</v>
      </c>
      <c r="N112" s="341">
        <f t="shared" ref="N112:N113" si="48">ROUND(SUM(L112:M112),0)</f>
        <v>0</v>
      </c>
      <c r="O112" s="339">
        <f>O18</f>
        <v>0</v>
      </c>
      <c r="P112" s="347">
        <f>10*O112</f>
        <v>0</v>
      </c>
      <c r="Q112" s="348">
        <f>IF($B$7&gt;2,B112*(1+$H$11)*(1+$N$11)*(1+$T$11),0)</f>
        <v>0</v>
      </c>
      <c r="R112" s="340">
        <f>IF(Q112&gt;($L$3*10),((O112*Q112)-R18),0)</f>
        <v>0</v>
      </c>
      <c r="S112" s="340">
        <f>ROUND(R112*$L$5,0)</f>
        <v>0</v>
      </c>
      <c r="T112" s="341">
        <f t="shared" si="43"/>
        <v>0</v>
      </c>
      <c r="U112" s="339">
        <f>U18</f>
        <v>0</v>
      </c>
      <c r="V112" s="347">
        <f>10*U112</f>
        <v>0</v>
      </c>
      <c r="W112" s="348">
        <f>IF($B$7&gt;3,B112*(1+$H$11)*(1+$N$11)*(1+$T$11)*(1+$Z$11),0)</f>
        <v>0</v>
      </c>
      <c r="X112" s="340">
        <f>IF(W112&gt;($L$3*10),((U112*W112)-X18),0)</f>
        <v>0</v>
      </c>
      <c r="Y112" s="340">
        <f>ROUND(X112*$L$5,0)</f>
        <v>0</v>
      </c>
      <c r="Z112" s="341">
        <f t="shared" si="44"/>
        <v>0</v>
      </c>
      <c r="AA112" s="339">
        <f>AA18</f>
        <v>0</v>
      </c>
      <c r="AB112" s="347">
        <f>10*AA112</f>
        <v>0</v>
      </c>
      <c r="AC112" s="348">
        <f>IF($B$7&gt;4,B112*(1+$H$11)*(1+$N$11)*(1+$T$11)*(1+$Z$11)*(1+$AF$11),0)</f>
        <v>0</v>
      </c>
      <c r="AD112" s="340">
        <f>IF(AC112&gt;($L$3*10),((AA112*AC112)-AD18),0)</f>
        <v>0</v>
      </c>
      <c r="AE112" s="340">
        <f>ROUND(AD112*$L$5,0)</f>
        <v>0</v>
      </c>
      <c r="AF112" s="341">
        <f t="shared" si="45"/>
        <v>0</v>
      </c>
      <c r="AG112" s="339">
        <f>AG18</f>
        <v>0</v>
      </c>
      <c r="AH112" s="347">
        <f>10*AG112</f>
        <v>0</v>
      </c>
      <c r="AI112" s="348">
        <f>AI18</f>
        <v>0</v>
      </c>
      <c r="AJ112" s="340">
        <f>IF(AI112&gt;($L$3*10),((AG112*AI112)-AJ18),0)</f>
        <v>0</v>
      </c>
      <c r="AK112" s="340">
        <f>ROUND(AJ112*$L$5,0)</f>
        <v>0</v>
      </c>
      <c r="AL112" s="341">
        <f t="shared" si="46"/>
        <v>0</v>
      </c>
      <c r="AM112" s="339">
        <f>AM18</f>
        <v>0</v>
      </c>
      <c r="AN112" s="347">
        <f>10*AM112</f>
        <v>0</v>
      </c>
      <c r="AO112" s="348">
        <f>AO18</f>
        <v>0</v>
      </c>
      <c r="AP112" s="340">
        <f>IF(AO112&gt;($L$3*10),((AM112*AO112)-AP18),0)</f>
        <v>0</v>
      </c>
      <c r="AQ112" s="340">
        <f>ROUND(AP112*$L$5,0)</f>
        <v>0</v>
      </c>
      <c r="AR112" s="341">
        <f t="shared" si="47"/>
        <v>0</v>
      </c>
      <c r="AS112" s="346">
        <f t="shared" ref="AS112" si="49">ROUND(SUM(H112,N112,T112,Z112,AF112,AL112,AR112),0)</f>
        <v>0</v>
      </c>
      <c r="AT112" s="122" t="str">
        <f t="shared" ref="AT112:AT113" si="50">A112</f>
        <v>Faculty 2 - 10mo Academic</v>
      </c>
      <c r="AU112" s="4"/>
      <c r="AV112" s="4"/>
      <c r="AW112" s="1"/>
      <c r="AX112" s="2"/>
    </row>
    <row r="113" spans="1:53" s="3" customFormat="1" outlineLevel="1" x14ac:dyDescent="0.2">
      <c r="A113" s="338" t="str">
        <f>A20</f>
        <v>Faculty 3 - 12mo Appt</v>
      </c>
      <c r="B113" s="228">
        <f>B20</f>
        <v>0</v>
      </c>
      <c r="C113" s="339">
        <f>C20</f>
        <v>0</v>
      </c>
      <c r="D113" s="347">
        <f>12*C113</f>
        <v>0</v>
      </c>
      <c r="E113" s="348">
        <f t="shared" ref="E113" si="51">B113*(1+$H$11)</f>
        <v>0</v>
      </c>
      <c r="F113" s="340">
        <f>IF(E113&gt;$L$2,((C113*E113)-F20),0)</f>
        <v>0</v>
      </c>
      <c r="G113" s="340">
        <f>ROUND(F113*$L$5,0)</f>
        <v>0</v>
      </c>
      <c r="H113" s="341">
        <f t="shared" si="41"/>
        <v>0</v>
      </c>
      <c r="I113" s="339">
        <f>I20</f>
        <v>0</v>
      </c>
      <c r="J113" s="347">
        <f t="shared" ref="J113" si="52">12*I113</f>
        <v>0</v>
      </c>
      <c r="K113" s="348">
        <f>IF($B$7&gt;1,B113*(1+$H$11)*(1+$N$11),0)</f>
        <v>0</v>
      </c>
      <c r="L113" s="340">
        <f>IF(K113&gt;$L$2,((I113*K113)-L20),0)</f>
        <v>0</v>
      </c>
      <c r="M113" s="340">
        <f>ROUND(L113*$L$5,0)</f>
        <v>0</v>
      </c>
      <c r="N113" s="341">
        <f t="shared" si="48"/>
        <v>0</v>
      </c>
      <c r="O113" s="339">
        <f>O20</f>
        <v>0</v>
      </c>
      <c r="P113" s="347">
        <f t="shared" ref="P113" si="53">12*O113</f>
        <v>0</v>
      </c>
      <c r="Q113" s="348">
        <f>IF($B$7&gt;2,B113*(1+$H$11)*(1+$N$11)*(1+$T$11),0)</f>
        <v>0</v>
      </c>
      <c r="R113" s="340">
        <f>IF(Q113&gt;$L$2,((O113*Q113)-R20),0)</f>
        <v>0</v>
      </c>
      <c r="S113" s="340">
        <f>ROUND(R113*$L$5,0)</f>
        <v>0</v>
      </c>
      <c r="T113" s="341">
        <f t="shared" si="43"/>
        <v>0</v>
      </c>
      <c r="U113" s="339">
        <f>U20</f>
        <v>0</v>
      </c>
      <c r="V113" s="347">
        <f t="shared" ref="V113" si="54">12*U113</f>
        <v>0</v>
      </c>
      <c r="W113" s="348">
        <f>IF($B$7&gt;3,B113*(1+$H$11)*(1+$N$11)*(1+$T$11)*(1+$Z$11),0)</f>
        <v>0</v>
      </c>
      <c r="X113" s="340">
        <f>IF(W113&gt;$L$2,((U113*W113)-X20),0)</f>
        <v>0</v>
      </c>
      <c r="Y113" s="340">
        <f>ROUND(X113*$L$5,0)</f>
        <v>0</v>
      </c>
      <c r="Z113" s="341">
        <f t="shared" si="44"/>
        <v>0</v>
      </c>
      <c r="AA113" s="339">
        <f>AA20</f>
        <v>0</v>
      </c>
      <c r="AB113" s="347">
        <f t="shared" ref="AB113" si="55">12*AA113</f>
        <v>0</v>
      </c>
      <c r="AC113" s="348">
        <f>IF($B$7&gt;4,B113*(1+$H$11)*(1+$N$11)*(1+$T$11)*(1+$Z$11)*(1+$AF$11),0)</f>
        <v>0</v>
      </c>
      <c r="AD113" s="340">
        <f>IF(AC113&gt;$L$2,((AA113*AC113)-AD20),0)</f>
        <v>0</v>
      </c>
      <c r="AE113" s="340">
        <f>ROUND(AD113*$L$5,0)</f>
        <v>0</v>
      </c>
      <c r="AF113" s="341">
        <f t="shared" si="45"/>
        <v>0</v>
      </c>
      <c r="AG113" s="339">
        <f>AG20</f>
        <v>0</v>
      </c>
      <c r="AH113" s="347">
        <f t="shared" ref="AH113" si="56">12*AG113</f>
        <v>0</v>
      </c>
      <c r="AI113" s="348">
        <f>AI20</f>
        <v>0</v>
      </c>
      <c r="AJ113" s="340">
        <f>IF(AI113&gt;$L$2,((AG113*AI113)-AJ20),0)</f>
        <v>0</v>
      </c>
      <c r="AK113" s="340">
        <f>ROUND(AJ113*$L$5,0)</f>
        <v>0</v>
      </c>
      <c r="AL113" s="341">
        <f t="shared" si="46"/>
        <v>0</v>
      </c>
      <c r="AM113" s="339">
        <f>AM20</f>
        <v>0</v>
      </c>
      <c r="AN113" s="347">
        <f t="shared" ref="AN113" si="57">12*AM113</f>
        <v>0</v>
      </c>
      <c r="AO113" s="348">
        <f>AO20</f>
        <v>0</v>
      </c>
      <c r="AP113" s="340">
        <f>IF(AO113&gt;$L$2,((AM113*AO113)-AP20),0)</f>
        <v>0</v>
      </c>
      <c r="AQ113" s="340">
        <f>ROUND(AP113*$L$5,0)</f>
        <v>0</v>
      </c>
      <c r="AR113" s="341">
        <f t="shared" si="47"/>
        <v>0</v>
      </c>
      <c r="AS113" s="346">
        <f>ROUND(SUM(H113,N113,T113,Z113,AF113,AL113,AR113),0)</f>
        <v>0</v>
      </c>
      <c r="AT113" s="122" t="str">
        <f t="shared" si="50"/>
        <v>Faculty 3 - 12mo Appt</v>
      </c>
      <c r="AU113" s="4"/>
      <c r="AV113" s="4"/>
      <c r="AW113" s="1"/>
      <c r="AX113" s="2"/>
      <c r="AZ113" s="4"/>
      <c r="BA113" s="4"/>
    </row>
    <row r="116" spans="1:53" ht="13.5" outlineLevel="1" thickBot="1" x14ac:dyDescent="0.25">
      <c r="A116" s="239" t="s">
        <v>200</v>
      </c>
    </row>
    <row r="117" spans="1:53" s="47" customFormat="1" outlineLevel="1" x14ac:dyDescent="0.2">
      <c r="A117" s="306"/>
      <c r="B117" s="307"/>
      <c r="C117" s="307"/>
      <c r="D117" s="307"/>
      <c r="E117" s="307"/>
      <c r="F117" s="307"/>
      <c r="G117" s="307"/>
      <c r="H117" s="307" t="s">
        <v>72</v>
      </c>
      <c r="I117" s="308"/>
      <c r="J117" s="307"/>
      <c r="K117" s="307"/>
      <c r="L117" s="307"/>
      <c r="M117" s="307"/>
      <c r="N117" s="307" t="s">
        <v>73</v>
      </c>
      <c r="O117" s="308"/>
      <c r="P117" s="307"/>
      <c r="Q117" s="307"/>
      <c r="R117" s="307"/>
      <c r="S117" s="307"/>
      <c r="T117" s="307" t="s">
        <v>74</v>
      </c>
      <c r="U117" s="308"/>
      <c r="V117" s="307"/>
      <c r="W117" s="307"/>
      <c r="X117" s="307"/>
      <c r="Y117" s="307"/>
      <c r="Z117" s="307" t="s">
        <v>75</v>
      </c>
      <c r="AA117" s="308"/>
      <c r="AB117" s="307"/>
      <c r="AC117" s="307"/>
      <c r="AD117" s="307"/>
      <c r="AE117" s="309"/>
      <c r="AF117" s="307" t="s">
        <v>76</v>
      </c>
      <c r="AG117" s="308"/>
      <c r="AH117" s="307"/>
      <c r="AI117" s="307"/>
      <c r="AJ117" s="307"/>
      <c r="AK117" s="309"/>
      <c r="AL117" s="307" t="s">
        <v>77</v>
      </c>
      <c r="AM117" s="308"/>
      <c r="AN117" s="307"/>
      <c r="AO117" s="307"/>
      <c r="AP117" s="307"/>
      <c r="AQ117" s="309"/>
      <c r="AR117" s="307" t="s">
        <v>78</v>
      </c>
      <c r="AS117" s="307" t="s">
        <v>201</v>
      </c>
      <c r="AT117" s="310"/>
    </row>
    <row r="118" spans="1:53" outlineLevel="1" x14ac:dyDescent="0.2">
      <c r="A118" s="311"/>
      <c r="B118" s="312"/>
      <c r="C118" s="312"/>
      <c r="D118" s="312"/>
      <c r="E118" s="312"/>
      <c r="F118" s="312"/>
      <c r="G118" s="313" t="s">
        <v>202</v>
      </c>
      <c r="H118" s="314">
        <f>H124*25000</f>
        <v>0</v>
      </c>
      <c r="I118" s="315"/>
      <c r="J118" s="316"/>
      <c r="K118" s="316"/>
      <c r="L118" s="316"/>
      <c r="M118" s="317" t="s">
        <v>203</v>
      </c>
      <c r="N118" s="314">
        <f>N124*25000</f>
        <v>0</v>
      </c>
      <c r="O118" s="318"/>
      <c r="P118" s="316"/>
      <c r="Q118" s="316"/>
      <c r="R118" s="316"/>
      <c r="S118" s="317" t="s">
        <v>203</v>
      </c>
      <c r="T118" s="314">
        <f>T124*25000</f>
        <v>0</v>
      </c>
      <c r="U118" s="318"/>
      <c r="V118" s="316"/>
      <c r="W118" s="316"/>
      <c r="X118" s="316"/>
      <c r="Y118" s="317" t="s">
        <v>203</v>
      </c>
      <c r="Z118" s="314">
        <f>Z124*25000</f>
        <v>0</v>
      </c>
      <c r="AA118" s="318"/>
      <c r="AB118" s="316"/>
      <c r="AC118" s="316"/>
      <c r="AD118" s="316"/>
      <c r="AE118" s="317" t="s">
        <v>203</v>
      </c>
      <c r="AF118" s="314">
        <f>AF124*25000</f>
        <v>0</v>
      </c>
      <c r="AG118" s="318"/>
      <c r="AH118" s="316"/>
      <c r="AI118" s="316"/>
      <c r="AJ118" s="316"/>
      <c r="AK118" s="317" t="s">
        <v>203</v>
      </c>
      <c r="AL118" s="314">
        <f>AL124*25000</f>
        <v>0</v>
      </c>
      <c r="AM118" s="318"/>
      <c r="AN118" s="316"/>
      <c r="AO118" s="316"/>
      <c r="AP118" s="316"/>
      <c r="AQ118" s="317" t="s">
        <v>203</v>
      </c>
      <c r="AR118" s="314">
        <f>AR124*25000</f>
        <v>0</v>
      </c>
      <c r="AS118" s="319">
        <f>SUM(H118,N118,T118,Z118,AF118,AL118,AR118)</f>
        <v>0</v>
      </c>
      <c r="AT118" s="320" t="s">
        <v>202</v>
      </c>
      <c r="AW118" s="4"/>
      <c r="AX118" s="4"/>
      <c r="AY118" s="4"/>
    </row>
    <row r="119" spans="1:53" s="7" customFormat="1" outlineLevel="1" x14ac:dyDescent="0.2">
      <c r="A119" s="311"/>
      <c r="B119" s="312"/>
      <c r="C119" s="312"/>
      <c r="D119" s="312"/>
      <c r="E119" s="312"/>
      <c r="F119" s="312"/>
      <c r="G119" s="313" t="s">
        <v>204</v>
      </c>
      <c r="H119" s="321">
        <f>SUM(H57,H61,H65,H69,H73,H77,H81,H85,H89,H93)</f>
        <v>0</v>
      </c>
      <c r="I119" s="318"/>
      <c r="J119" s="316"/>
      <c r="K119" s="316"/>
      <c r="L119" s="316"/>
      <c r="M119" s="317" t="s">
        <v>205</v>
      </c>
      <c r="N119" s="321">
        <f>SUM(N57,N61,N65,N69,N73,N77,N81,N85,N89,N93)</f>
        <v>0</v>
      </c>
      <c r="O119" s="318"/>
      <c r="P119" s="316"/>
      <c r="Q119" s="316"/>
      <c r="R119" s="316"/>
      <c r="S119" s="317" t="s">
        <v>205</v>
      </c>
      <c r="T119" s="321">
        <f>SUM(T57,T61,T65,T69,T73,T77,T81,T85,T89,T93)</f>
        <v>0</v>
      </c>
      <c r="U119" s="318"/>
      <c r="V119" s="316"/>
      <c r="W119" s="316"/>
      <c r="X119" s="316"/>
      <c r="Y119" s="317" t="s">
        <v>205</v>
      </c>
      <c r="Z119" s="321">
        <f>SUM(Z57,Z61,Z65,Z69,Z73,Z77,Z81,Z85,Z89,Z93)</f>
        <v>0</v>
      </c>
      <c r="AA119" s="318"/>
      <c r="AB119" s="316"/>
      <c r="AC119" s="316"/>
      <c r="AD119" s="316"/>
      <c r="AE119" s="317" t="s">
        <v>205</v>
      </c>
      <c r="AF119" s="321">
        <f>SUM(AF57,AF61,AF65,AF69,AF73,AF77,AF81,AF85,AF89,AF93)</f>
        <v>0</v>
      </c>
      <c r="AG119" s="318"/>
      <c r="AH119" s="316"/>
      <c r="AI119" s="316"/>
      <c r="AJ119" s="316"/>
      <c r="AK119" s="317" t="s">
        <v>205</v>
      </c>
      <c r="AL119" s="321">
        <f>SUM(AL57,AL61,AL65,AL69,AL73,AL77,AL81,AL85,AL89,AL93)</f>
        <v>0</v>
      </c>
      <c r="AM119" s="318"/>
      <c r="AN119" s="316"/>
      <c r="AO119" s="316"/>
      <c r="AP119" s="316"/>
      <c r="AQ119" s="317" t="s">
        <v>205</v>
      </c>
      <c r="AR119" s="321">
        <f>SUM(AR57,AR61,AR65,AR69,AR73,AR77,AR81,AR85,AR89,AR93)</f>
        <v>0</v>
      </c>
      <c r="AS119" s="319">
        <f t="shared" ref="AS119:AS123" si="58">SUM(H119,N119,T119,Z119,AF119,AL119,AR119)</f>
        <v>0</v>
      </c>
      <c r="AT119" s="320" t="s">
        <v>204</v>
      </c>
    </row>
    <row r="120" spans="1:53" outlineLevel="1" x14ac:dyDescent="0.2">
      <c r="A120" s="311"/>
      <c r="B120" s="312"/>
      <c r="C120" s="312"/>
      <c r="D120" s="312"/>
      <c r="E120" s="312"/>
      <c r="F120" s="312"/>
      <c r="G120" s="313" t="s">
        <v>206</v>
      </c>
      <c r="H120" s="321">
        <f>(H124*25000)+H119</f>
        <v>0</v>
      </c>
      <c r="I120" s="318"/>
      <c r="J120" s="316"/>
      <c r="K120" s="316"/>
      <c r="L120" s="316"/>
      <c r="M120" s="317" t="s">
        <v>207</v>
      </c>
      <c r="N120" s="321">
        <f>(N124*25000)+N119</f>
        <v>0</v>
      </c>
      <c r="O120" s="318"/>
      <c r="P120" s="316"/>
      <c r="Q120" s="316"/>
      <c r="R120" s="316"/>
      <c r="S120" s="317" t="s">
        <v>207</v>
      </c>
      <c r="T120" s="321">
        <f>(T124*25000)+T119</f>
        <v>0</v>
      </c>
      <c r="U120" s="318"/>
      <c r="V120" s="316"/>
      <c r="W120" s="316"/>
      <c r="X120" s="316"/>
      <c r="Y120" s="317" t="s">
        <v>207</v>
      </c>
      <c r="Z120" s="321">
        <f>(Z124*25000)+Z119</f>
        <v>0</v>
      </c>
      <c r="AA120" s="318"/>
      <c r="AB120" s="316"/>
      <c r="AC120" s="316"/>
      <c r="AD120" s="316"/>
      <c r="AE120" s="317" t="s">
        <v>207</v>
      </c>
      <c r="AF120" s="321">
        <f>(AF124*25000)+AF119</f>
        <v>0</v>
      </c>
      <c r="AG120" s="318"/>
      <c r="AH120" s="316"/>
      <c r="AI120" s="316"/>
      <c r="AJ120" s="316"/>
      <c r="AK120" s="317" t="s">
        <v>207</v>
      </c>
      <c r="AL120" s="321">
        <f>(AL124*25000)+AL119</f>
        <v>0</v>
      </c>
      <c r="AM120" s="318"/>
      <c r="AN120" s="316"/>
      <c r="AO120" s="316"/>
      <c r="AP120" s="316"/>
      <c r="AQ120" s="317" t="s">
        <v>207</v>
      </c>
      <c r="AR120" s="321">
        <f>(AR124*25000)+AR119</f>
        <v>0</v>
      </c>
      <c r="AS120" s="319">
        <f t="shared" si="58"/>
        <v>0</v>
      </c>
      <c r="AT120" s="320" t="s">
        <v>206</v>
      </c>
      <c r="AW120" s="4"/>
      <c r="AX120" s="4"/>
      <c r="AY120" s="4"/>
    </row>
    <row r="121" spans="1:53" outlineLevel="1" x14ac:dyDescent="0.2">
      <c r="A121" s="311"/>
      <c r="B121" s="312"/>
      <c r="C121" s="312"/>
      <c r="D121" s="312"/>
      <c r="E121" s="312"/>
      <c r="F121" s="312"/>
      <c r="G121" s="313" t="s">
        <v>208</v>
      </c>
      <c r="H121" s="321">
        <f>H120-H125</f>
        <v>0</v>
      </c>
      <c r="I121" s="318"/>
      <c r="J121" s="316"/>
      <c r="K121" s="316"/>
      <c r="L121" s="316"/>
      <c r="M121" s="317" t="s">
        <v>209</v>
      </c>
      <c r="N121" s="321">
        <f>N120-N125</f>
        <v>0</v>
      </c>
      <c r="O121" s="318"/>
      <c r="P121" s="316"/>
      <c r="Q121" s="316"/>
      <c r="R121" s="316"/>
      <c r="S121" s="317" t="s">
        <v>209</v>
      </c>
      <c r="T121" s="321">
        <f>T120-T125</f>
        <v>0</v>
      </c>
      <c r="U121" s="318"/>
      <c r="V121" s="316"/>
      <c r="W121" s="316"/>
      <c r="X121" s="316"/>
      <c r="Y121" s="317" t="s">
        <v>209</v>
      </c>
      <c r="Z121" s="321">
        <f>Z120-Z125</f>
        <v>0</v>
      </c>
      <c r="AA121" s="318"/>
      <c r="AB121" s="316"/>
      <c r="AC121" s="316"/>
      <c r="AD121" s="316"/>
      <c r="AE121" s="317" t="s">
        <v>209</v>
      </c>
      <c r="AF121" s="321">
        <f>AF120-AF125</f>
        <v>0</v>
      </c>
      <c r="AG121" s="318"/>
      <c r="AH121" s="316"/>
      <c r="AI121" s="316"/>
      <c r="AJ121" s="316"/>
      <c r="AK121" s="317" t="s">
        <v>209</v>
      </c>
      <c r="AL121" s="321">
        <f>AL120-AL125</f>
        <v>0</v>
      </c>
      <c r="AM121" s="318"/>
      <c r="AN121" s="316"/>
      <c r="AO121" s="316"/>
      <c r="AP121" s="316"/>
      <c r="AQ121" s="317" t="s">
        <v>209</v>
      </c>
      <c r="AR121" s="321">
        <f>AR120-AR125</f>
        <v>0</v>
      </c>
      <c r="AS121" s="319">
        <f t="shared" si="58"/>
        <v>0</v>
      </c>
      <c r="AT121" s="320" t="s">
        <v>208</v>
      </c>
      <c r="AW121" s="4"/>
      <c r="AX121" s="4"/>
      <c r="AY121" s="4"/>
    </row>
    <row r="122" spans="1:53" s="35" customFormat="1" outlineLevel="1" x14ac:dyDescent="0.2">
      <c r="A122" s="322"/>
      <c r="B122" s="323"/>
      <c r="C122" s="323"/>
      <c r="D122" s="323"/>
      <c r="E122" s="323"/>
      <c r="F122" s="323"/>
      <c r="G122" s="313" t="s">
        <v>210</v>
      </c>
      <c r="H122" s="321">
        <f>ROUND(H121*$L$9,0)</f>
        <v>0</v>
      </c>
      <c r="I122" s="318"/>
      <c r="J122" s="316"/>
      <c r="K122" s="316"/>
      <c r="L122" s="316"/>
      <c r="M122" s="317" t="s">
        <v>211</v>
      </c>
      <c r="N122" s="321">
        <f>ROUND(N121*$L$9,0)</f>
        <v>0</v>
      </c>
      <c r="O122" s="318"/>
      <c r="P122" s="316"/>
      <c r="Q122" s="316"/>
      <c r="R122" s="316"/>
      <c r="S122" s="317" t="s">
        <v>211</v>
      </c>
      <c r="T122" s="321">
        <f>ROUND(T121*$L$9,0)</f>
        <v>0</v>
      </c>
      <c r="U122" s="318"/>
      <c r="V122" s="316"/>
      <c r="W122" s="316"/>
      <c r="X122" s="316"/>
      <c r="Y122" s="317" t="s">
        <v>211</v>
      </c>
      <c r="Z122" s="321">
        <f>ROUND(Z121*$L$9,0)</f>
        <v>0</v>
      </c>
      <c r="AA122" s="318"/>
      <c r="AB122" s="316"/>
      <c r="AC122" s="316"/>
      <c r="AD122" s="316"/>
      <c r="AE122" s="317" t="s">
        <v>211</v>
      </c>
      <c r="AF122" s="321">
        <f>ROUND(AF121*$L$9,0)</f>
        <v>0</v>
      </c>
      <c r="AG122" s="318"/>
      <c r="AH122" s="316"/>
      <c r="AI122" s="316"/>
      <c r="AJ122" s="316"/>
      <c r="AK122" s="317" t="s">
        <v>211</v>
      </c>
      <c r="AL122" s="321">
        <f>ROUND(AL121*$L$9,0)</f>
        <v>0</v>
      </c>
      <c r="AM122" s="318"/>
      <c r="AN122" s="316"/>
      <c r="AO122" s="316"/>
      <c r="AP122" s="316"/>
      <c r="AQ122" s="317" t="s">
        <v>211</v>
      </c>
      <c r="AR122" s="321">
        <f>ROUND(AR121*$L$9,0)</f>
        <v>0</v>
      </c>
      <c r="AS122" s="319">
        <f t="shared" si="58"/>
        <v>0</v>
      </c>
      <c r="AT122" s="320" t="s">
        <v>210</v>
      </c>
    </row>
    <row r="123" spans="1:53" s="36" customFormat="1" outlineLevel="1" x14ac:dyDescent="0.2">
      <c r="A123" s="311"/>
      <c r="B123" s="312"/>
      <c r="C123" s="312"/>
      <c r="D123" s="312"/>
      <c r="E123" s="312"/>
      <c r="F123" s="312"/>
      <c r="G123" s="313" t="s">
        <v>212</v>
      </c>
      <c r="H123" s="324">
        <f>SUM(H120,H122)</f>
        <v>0</v>
      </c>
      <c r="I123" s="325"/>
      <c r="J123" s="326"/>
      <c r="K123" s="326"/>
      <c r="L123" s="326"/>
      <c r="M123" s="327" t="s">
        <v>213</v>
      </c>
      <c r="N123" s="324">
        <f>SUM(N120,N122)</f>
        <v>0</v>
      </c>
      <c r="O123" s="325"/>
      <c r="P123" s="326"/>
      <c r="Q123" s="326"/>
      <c r="R123" s="326"/>
      <c r="S123" s="327" t="s">
        <v>213</v>
      </c>
      <c r="T123" s="324">
        <f>SUM(T120,T122)</f>
        <v>0</v>
      </c>
      <c r="U123" s="325"/>
      <c r="V123" s="326"/>
      <c r="W123" s="326"/>
      <c r="X123" s="326"/>
      <c r="Y123" s="327" t="s">
        <v>213</v>
      </c>
      <c r="Z123" s="324">
        <f>SUM(Z120,Z122)</f>
        <v>0</v>
      </c>
      <c r="AA123" s="325"/>
      <c r="AB123" s="326"/>
      <c r="AC123" s="326"/>
      <c r="AD123" s="326"/>
      <c r="AE123" s="327" t="s">
        <v>213</v>
      </c>
      <c r="AF123" s="324">
        <f>SUM(AF120,AF122)</f>
        <v>0</v>
      </c>
      <c r="AG123" s="325"/>
      <c r="AH123" s="326"/>
      <c r="AI123" s="326"/>
      <c r="AJ123" s="326"/>
      <c r="AK123" s="327" t="s">
        <v>213</v>
      </c>
      <c r="AL123" s="324">
        <f>SUM(AL120,AL122)</f>
        <v>0</v>
      </c>
      <c r="AM123" s="325"/>
      <c r="AN123" s="326"/>
      <c r="AO123" s="326"/>
      <c r="AP123" s="326"/>
      <c r="AQ123" s="327" t="s">
        <v>213</v>
      </c>
      <c r="AR123" s="324">
        <f>SUM(AR120,AR122)</f>
        <v>0</v>
      </c>
      <c r="AS123" s="319">
        <f t="shared" si="58"/>
        <v>0</v>
      </c>
      <c r="AT123" s="320" t="s">
        <v>212</v>
      </c>
    </row>
    <row r="124" spans="1:53" outlineLevel="1" x14ac:dyDescent="0.2">
      <c r="A124" s="328"/>
      <c r="B124" s="329"/>
      <c r="C124" s="329"/>
      <c r="D124" s="383" t="s">
        <v>214</v>
      </c>
      <c r="E124" s="384"/>
      <c r="F124" s="384"/>
      <c r="G124" s="384"/>
      <c r="H124" s="330">
        <f>ROUNDUP((H97/25000),0)</f>
        <v>0</v>
      </c>
      <c r="I124" s="330"/>
      <c r="J124" s="330"/>
      <c r="K124" s="330"/>
      <c r="L124" s="330"/>
      <c r="M124" s="330"/>
      <c r="N124" s="330">
        <f>ROUNDUP((N97/25000),0)</f>
        <v>0</v>
      </c>
      <c r="O124" s="330"/>
      <c r="P124" s="330"/>
      <c r="Q124" s="330"/>
      <c r="R124" s="330"/>
      <c r="S124" s="330"/>
      <c r="T124" s="330">
        <f>ROUNDUP((T97/25000),0)</f>
        <v>0</v>
      </c>
      <c r="U124" s="330"/>
      <c r="V124" s="330"/>
      <c r="W124" s="330"/>
      <c r="X124" s="330"/>
      <c r="Y124" s="330"/>
      <c r="Z124" s="330">
        <f>ROUNDUP((Z97/25000),0)</f>
        <v>0</v>
      </c>
      <c r="AA124" s="330"/>
      <c r="AB124" s="330"/>
      <c r="AC124" s="330"/>
      <c r="AD124" s="330"/>
      <c r="AE124" s="330"/>
      <c r="AF124" s="330">
        <f>ROUNDUP((AF97/25000),0)</f>
        <v>0</v>
      </c>
      <c r="AG124" s="330"/>
      <c r="AH124" s="330"/>
      <c r="AI124" s="330"/>
      <c r="AJ124" s="330"/>
      <c r="AK124" s="330"/>
      <c r="AL124" s="330">
        <f>ROUNDUP((AL97/25000),0)</f>
        <v>0</v>
      </c>
      <c r="AM124" s="330"/>
      <c r="AN124" s="330"/>
      <c r="AO124" s="330"/>
      <c r="AP124" s="330"/>
      <c r="AQ124" s="330"/>
      <c r="AR124" s="330">
        <f>ROUNDUP((AR97/25000),0)</f>
        <v>0</v>
      </c>
      <c r="AS124" s="331"/>
      <c r="AT124" s="332"/>
      <c r="AW124" s="4"/>
      <c r="AX124" s="4"/>
      <c r="AY124" s="4"/>
    </row>
    <row r="125" spans="1:53" ht="13.5" outlineLevel="1" thickBot="1" x14ac:dyDescent="0.25">
      <c r="A125" s="333"/>
      <c r="B125" s="334"/>
      <c r="C125" s="334"/>
      <c r="D125" s="385" t="s">
        <v>215</v>
      </c>
      <c r="E125" s="386"/>
      <c r="F125" s="386"/>
      <c r="G125" s="386"/>
      <c r="H125" s="335">
        <f>H96-H98</f>
        <v>0</v>
      </c>
      <c r="I125" s="335"/>
      <c r="J125" s="335"/>
      <c r="K125" s="335"/>
      <c r="L125" s="335"/>
      <c r="M125" s="335"/>
      <c r="N125" s="335">
        <f>N96-N98</f>
        <v>0</v>
      </c>
      <c r="O125" s="335"/>
      <c r="P125" s="335"/>
      <c r="Q125" s="335"/>
      <c r="R125" s="335"/>
      <c r="S125" s="335"/>
      <c r="T125" s="335">
        <f>T96-T98</f>
        <v>0</v>
      </c>
      <c r="U125" s="335"/>
      <c r="V125" s="335"/>
      <c r="W125" s="335"/>
      <c r="X125" s="335"/>
      <c r="Y125" s="335"/>
      <c r="Z125" s="335">
        <f>Z96-Z98</f>
        <v>0</v>
      </c>
      <c r="AA125" s="335"/>
      <c r="AB125" s="335"/>
      <c r="AC125" s="335"/>
      <c r="AD125" s="335"/>
      <c r="AE125" s="335"/>
      <c r="AF125" s="335">
        <f>AF96-AF98</f>
        <v>0</v>
      </c>
      <c r="AG125" s="335"/>
      <c r="AH125" s="335"/>
      <c r="AI125" s="335"/>
      <c r="AJ125" s="335"/>
      <c r="AK125" s="335"/>
      <c r="AL125" s="335">
        <f>AL96-AL98</f>
        <v>0</v>
      </c>
      <c r="AM125" s="335"/>
      <c r="AN125" s="335"/>
      <c r="AO125" s="335"/>
      <c r="AP125" s="335"/>
      <c r="AQ125" s="335"/>
      <c r="AR125" s="335">
        <f>AR96-AR98</f>
        <v>0</v>
      </c>
      <c r="AS125" s="334"/>
      <c r="AT125" s="336"/>
      <c r="AW125" s="4"/>
      <c r="AX125" s="4"/>
      <c r="AY125" s="4"/>
    </row>
  </sheetData>
  <sheetProtection sheet="1" formatColumns="0" formatRows="0" insertRows="0"/>
  <mergeCells count="261">
    <mergeCell ref="I87:M87"/>
    <mergeCell ref="O87:S87"/>
    <mergeCell ref="U87:Y87"/>
    <mergeCell ref="AA87:AE87"/>
    <mergeCell ref="AG87:AK87"/>
    <mergeCell ref="AM87:AQ87"/>
    <mergeCell ref="C90:F90"/>
    <mergeCell ref="I90:L90"/>
    <mergeCell ref="O90:R90"/>
    <mergeCell ref="U90:X90"/>
    <mergeCell ref="AA90:AD90"/>
    <mergeCell ref="AG90:AJ90"/>
    <mergeCell ref="AM90:AP90"/>
    <mergeCell ref="I83:M83"/>
    <mergeCell ref="O83:S83"/>
    <mergeCell ref="U83:Y83"/>
    <mergeCell ref="AA83:AE83"/>
    <mergeCell ref="AG83:AK83"/>
    <mergeCell ref="AM83:AQ83"/>
    <mergeCell ref="C86:F86"/>
    <mergeCell ref="I86:L86"/>
    <mergeCell ref="O86:R86"/>
    <mergeCell ref="U86:X86"/>
    <mergeCell ref="AA86:AD86"/>
    <mergeCell ref="AG86:AJ86"/>
    <mergeCell ref="AM86:AP86"/>
    <mergeCell ref="I79:M79"/>
    <mergeCell ref="O79:S79"/>
    <mergeCell ref="U79:Y79"/>
    <mergeCell ref="AA79:AE79"/>
    <mergeCell ref="AG79:AK79"/>
    <mergeCell ref="AM79:AQ79"/>
    <mergeCell ref="C82:F82"/>
    <mergeCell ref="I82:L82"/>
    <mergeCell ref="O82:R82"/>
    <mergeCell ref="U82:X82"/>
    <mergeCell ref="AA82:AD82"/>
    <mergeCell ref="AG82:AJ82"/>
    <mergeCell ref="AM82:AP82"/>
    <mergeCell ref="I71:M71"/>
    <mergeCell ref="O71:S71"/>
    <mergeCell ref="U71:Y71"/>
    <mergeCell ref="AA71:AE71"/>
    <mergeCell ref="AG71:AK71"/>
    <mergeCell ref="AM71:AQ71"/>
    <mergeCell ref="C74:F74"/>
    <mergeCell ref="I74:L74"/>
    <mergeCell ref="O74:R74"/>
    <mergeCell ref="U74:X74"/>
    <mergeCell ref="AA74:AD74"/>
    <mergeCell ref="AG74:AJ74"/>
    <mergeCell ref="AM74:AP74"/>
    <mergeCell ref="AA75:AE75"/>
    <mergeCell ref="AG75:AK75"/>
    <mergeCell ref="AM75:AQ75"/>
    <mergeCell ref="C78:F78"/>
    <mergeCell ref="I78:L78"/>
    <mergeCell ref="O78:R78"/>
    <mergeCell ref="U78:X78"/>
    <mergeCell ref="AA78:AD78"/>
    <mergeCell ref="AG78:AJ78"/>
    <mergeCell ref="AM78:AP78"/>
    <mergeCell ref="AG55:AK55"/>
    <mergeCell ref="AG58:AJ58"/>
    <mergeCell ref="AG59:AK59"/>
    <mergeCell ref="AG62:AJ62"/>
    <mergeCell ref="AG63:AK63"/>
    <mergeCell ref="AG66:AJ66"/>
    <mergeCell ref="AG67:AK67"/>
    <mergeCell ref="AG70:AJ70"/>
    <mergeCell ref="AG91:AK91"/>
    <mergeCell ref="AJ11:AK11"/>
    <mergeCell ref="AG12:AL12"/>
    <mergeCell ref="AG13:AG15"/>
    <mergeCell ref="AH13:AH15"/>
    <mergeCell ref="AI13:AI15"/>
    <mergeCell ref="AJ13:AJ15"/>
    <mergeCell ref="AK13:AK15"/>
    <mergeCell ref="AL13:AL15"/>
    <mergeCell ref="AG34:AJ34"/>
    <mergeCell ref="AY44:BD48"/>
    <mergeCell ref="AY49:BD51"/>
    <mergeCell ref="AV52:BD59"/>
    <mergeCell ref="I12:N12"/>
    <mergeCell ref="O12:T12"/>
    <mergeCell ref="X11:Y11"/>
    <mergeCell ref="AD11:AE11"/>
    <mergeCell ref="A12:A13"/>
    <mergeCell ref="B13:B15"/>
    <mergeCell ref="C13:C15"/>
    <mergeCell ref="D13:D15"/>
    <mergeCell ref="F13:F15"/>
    <mergeCell ref="G13:G15"/>
    <mergeCell ref="H13:H15"/>
    <mergeCell ref="I13:I15"/>
    <mergeCell ref="J13:J15"/>
    <mergeCell ref="L13:L15"/>
    <mergeCell ref="M13:M15"/>
    <mergeCell ref="N13:N15"/>
    <mergeCell ref="O13:O15"/>
    <mergeCell ref="P13:P15"/>
    <mergeCell ref="R13:R15"/>
    <mergeCell ref="S13:S15"/>
    <mergeCell ref="L11:M11"/>
    <mergeCell ref="R11:S11"/>
    <mergeCell ref="U12:Z12"/>
    <mergeCell ref="AA12:AF12"/>
    <mergeCell ref="AE13:AE15"/>
    <mergeCell ref="AF13:AF15"/>
    <mergeCell ref="C12:H12"/>
    <mergeCell ref="O62:R62"/>
    <mergeCell ref="C34:F34"/>
    <mergeCell ref="I34:L34"/>
    <mergeCell ref="O34:R34"/>
    <mergeCell ref="U34:X34"/>
    <mergeCell ref="AA34:AD34"/>
    <mergeCell ref="B41:G41"/>
    <mergeCell ref="C55:G55"/>
    <mergeCell ref="T13:T15"/>
    <mergeCell ref="U13:U15"/>
    <mergeCell ref="V13:V15"/>
    <mergeCell ref="X13:X15"/>
    <mergeCell ref="Y13:Y15"/>
    <mergeCell ref="Z13:Z15"/>
    <mergeCell ref="AA13:AA15"/>
    <mergeCell ref="AB13:AB15"/>
    <mergeCell ref="AD13:AD15"/>
    <mergeCell ref="U66:X66"/>
    <mergeCell ref="AC13:AC15"/>
    <mergeCell ref="W13:W15"/>
    <mergeCell ref="Q13:Q15"/>
    <mergeCell ref="K13:K15"/>
    <mergeCell ref="E13:E15"/>
    <mergeCell ref="I63:M63"/>
    <mergeCell ref="O63:S63"/>
    <mergeCell ref="U63:Y63"/>
    <mergeCell ref="AA63:AE63"/>
    <mergeCell ref="O67:S67"/>
    <mergeCell ref="U67:Y67"/>
    <mergeCell ref="AA67:AE67"/>
    <mergeCell ref="C66:F66"/>
    <mergeCell ref="I66:L66"/>
    <mergeCell ref="AA66:AD66"/>
    <mergeCell ref="I55:M55"/>
    <mergeCell ref="O55:S55"/>
    <mergeCell ref="U55:Y55"/>
    <mergeCell ref="AA62:AD62"/>
    <mergeCell ref="AA55:AE55"/>
    <mergeCell ref="C58:F58"/>
    <mergeCell ref="I58:L58"/>
    <mergeCell ref="O58:R58"/>
    <mergeCell ref="U58:X58"/>
    <mergeCell ref="AA58:AD58"/>
    <mergeCell ref="I59:M59"/>
    <mergeCell ref="O59:S59"/>
    <mergeCell ref="U59:Y59"/>
    <mergeCell ref="AA59:AE59"/>
    <mergeCell ref="C62:F62"/>
    <mergeCell ref="I62:L62"/>
    <mergeCell ref="U62:X62"/>
    <mergeCell ref="O66:R66"/>
    <mergeCell ref="AS13:AS15"/>
    <mergeCell ref="AA95:AE95"/>
    <mergeCell ref="C70:F70"/>
    <mergeCell ref="I70:L70"/>
    <mergeCell ref="O70:R70"/>
    <mergeCell ref="U70:X70"/>
    <mergeCell ref="AA70:AD70"/>
    <mergeCell ref="O94:R94"/>
    <mergeCell ref="U94:X94"/>
    <mergeCell ref="C95:G95"/>
    <mergeCell ref="I95:M95"/>
    <mergeCell ref="O95:S95"/>
    <mergeCell ref="I94:L94"/>
    <mergeCell ref="U95:Y95"/>
    <mergeCell ref="C94:F94"/>
    <mergeCell ref="AA94:AD94"/>
    <mergeCell ref="I91:M91"/>
    <mergeCell ref="O91:S91"/>
    <mergeCell ref="U91:Y91"/>
    <mergeCell ref="AA91:AE91"/>
    <mergeCell ref="I75:M75"/>
    <mergeCell ref="O75:S75"/>
    <mergeCell ref="U75:Y75"/>
    <mergeCell ref="I67:M67"/>
    <mergeCell ref="A107:A108"/>
    <mergeCell ref="C107:H107"/>
    <mergeCell ref="I107:N107"/>
    <mergeCell ref="O107:T107"/>
    <mergeCell ref="U107:Z107"/>
    <mergeCell ref="AA107:AF107"/>
    <mergeCell ref="B108:B110"/>
    <mergeCell ref="C108:C110"/>
    <mergeCell ref="D108:D110"/>
    <mergeCell ref="E108:E110"/>
    <mergeCell ref="F108:F110"/>
    <mergeCell ref="G108:G110"/>
    <mergeCell ref="H108:H110"/>
    <mergeCell ref="I108:I110"/>
    <mergeCell ref="J108:J110"/>
    <mergeCell ref="K108:K110"/>
    <mergeCell ref="L108:L110"/>
    <mergeCell ref="M108:M110"/>
    <mergeCell ref="N108:N110"/>
    <mergeCell ref="O108:O110"/>
    <mergeCell ref="P108:P110"/>
    <mergeCell ref="Q108:Q110"/>
    <mergeCell ref="R108:R110"/>
    <mergeCell ref="S108:S110"/>
    <mergeCell ref="AS108:AS110"/>
    <mergeCell ref="T108:T110"/>
    <mergeCell ref="U108:U110"/>
    <mergeCell ref="V108:V110"/>
    <mergeCell ref="W108:W110"/>
    <mergeCell ref="X108:X110"/>
    <mergeCell ref="Y108:Y110"/>
    <mergeCell ref="Z108:Z110"/>
    <mergeCell ref="AA108:AA110"/>
    <mergeCell ref="AB108:AB110"/>
    <mergeCell ref="AG108:AG110"/>
    <mergeCell ref="AH108:AH110"/>
    <mergeCell ref="AI108:AI110"/>
    <mergeCell ref="AJ108:AJ110"/>
    <mergeCell ref="AK108:AK110"/>
    <mergeCell ref="AL108:AL110"/>
    <mergeCell ref="AP11:AQ11"/>
    <mergeCell ref="AM12:AR12"/>
    <mergeCell ref="AM13:AM15"/>
    <mergeCell ref="AN13:AN15"/>
    <mergeCell ref="AO13:AO15"/>
    <mergeCell ref="AP13:AP15"/>
    <mergeCell ref="AQ13:AQ15"/>
    <mergeCell ref="AR13:AR15"/>
    <mergeCell ref="AM34:AP34"/>
    <mergeCell ref="AM55:AQ55"/>
    <mergeCell ref="AM58:AP58"/>
    <mergeCell ref="AM59:AQ59"/>
    <mergeCell ref="AM62:AP62"/>
    <mergeCell ref="AM63:AQ63"/>
    <mergeCell ref="AM66:AP66"/>
    <mergeCell ref="AM67:AQ67"/>
    <mergeCell ref="AM70:AP70"/>
    <mergeCell ref="AM91:AQ91"/>
    <mergeCell ref="D124:G124"/>
    <mergeCell ref="D125:G125"/>
    <mergeCell ref="AM94:AP94"/>
    <mergeCell ref="AM95:AQ95"/>
    <mergeCell ref="AM107:AR107"/>
    <mergeCell ref="AM108:AM110"/>
    <mergeCell ref="AN108:AN110"/>
    <mergeCell ref="AO108:AO110"/>
    <mergeCell ref="AP108:AP110"/>
    <mergeCell ref="AQ108:AQ110"/>
    <mergeCell ref="AR108:AR110"/>
    <mergeCell ref="AC108:AC110"/>
    <mergeCell ref="AD108:AD110"/>
    <mergeCell ref="AE108:AE110"/>
    <mergeCell ref="AF108:AF110"/>
    <mergeCell ref="AG94:AJ94"/>
    <mergeCell ref="AG95:AK95"/>
    <mergeCell ref="AG107:AL107"/>
  </mergeCells>
  <pageMargins left="0.7" right="0.7" top="0.75" bottom="0.75" header="0.3" footer="0.3"/>
  <pageSetup orientation="portrait" r:id="rId1"/>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7" id="{B707621E-A770-48EF-8A4D-179C621C6AFC}">
            <xm:f>AND('START HERE'!$B$11="Yes",B16&gt;(9*$L$3))</xm:f>
            <x14:dxf>
              <font>
                <color rgb="FFFF0000"/>
              </font>
            </x14:dxf>
          </x14:cfRule>
          <xm:sqref>B16 E16 K16 Q16 W16 AC16 AI16 AO16</xm:sqref>
        </x14:conditionalFormatting>
        <x14:conditionalFormatting xmlns:xm="http://schemas.microsoft.com/office/excel/2006/main">
          <x14:cfRule type="expression" priority="15" id="{F72BEB67-FCC5-448F-A311-4087E98867E7}">
            <xm:f>AND('START HERE'!$B$11="Yes",B17&gt;(3*$L$3))</xm:f>
            <x14:dxf>
              <font>
                <color rgb="FFFF0000"/>
              </font>
            </x14:dxf>
          </x14:cfRule>
          <xm:sqref>B17 E17 K17 Q17 W17 AC17 AI17 AO17</xm:sqref>
        </x14:conditionalFormatting>
        <x14:conditionalFormatting xmlns:xm="http://schemas.microsoft.com/office/excel/2006/main">
          <x14:cfRule type="expression" priority="23" id="{3BB01397-4E0A-4FC2-93B3-494B3355FE12}">
            <xm:f>AND('START HERE'!$B$11="Yes",B18&gt;(10*$L$3))</xm:f>
            <x14:dxf>
              <font>
                <color rgb="FFFF0000"/>
              </font>
            </x14:dxf>
          </x14:cfRule>
          <xm:sqref>B18 E18 K18 Q18 W18 AC18 AI18 AO18</xm:sqref>
        </x14:conditionalFormatting>
        <x14:conditionalFormatting xmlns:xm="http://schemas.microsoft.com/office/excel/2006/main">
          <x14:cfRule type="expression" priority="31" id="{597334DB-3ED7-4913-B013-ED802D1A09C6}">
            <xm:f>AND('START HERE'!$B$11="Yes",B19&gt;(2*$L$3))</xm:f>
            <x14:dxf>
              <font>
                <color rgb="FFFF0000"/>
              </font>
            </x14:dxf>
          </x14:cfRule>
          <xm:sqref>B19 E19 K19 Q19 W19 AC19 AI19 AO19</xm:sqref>
        </x14:conditionalFormatting>
        <x14:conditionalFormatting xmlns:xm="http://schemas.microsoft.com/office/excel/2006/main">
          <x14:cfRule type="expression" priority="39" id="{790D60C6-AD66-4DC1-8749-FFE0AAE3D494}">
            <xm:f>AND('START HERE'!$B$11="Yes",B20&gt;$L$2)</xm:f>
            <x14:dxf>
              <font>
                <color rgb="FFFF0000"/>
              </font>
            </x14:dxf>
          </x14:cfRule>
          <xm:sqref>B20:B26 E20:E26 K20:K26 Q20:Q26 W20:W26 AC20:AC26 AI20:AI26 AO20:AO26</xm:sqref>
        </x14:conditionalFormatting>
        <x14:conditionalFormatting xmlns:xm="http://schemas.microsoft.com/office/excel/2006/main">
          <x14:cfRule type="expression" priority="1" id="{EA772C7F-9953-481C-BC75-E197AB1C16C5}">
            <xm:f>AND('START HERE'!$B$11="Yes",'START HERE'!$B$12="")</xm:f>
            <x14:dxf>
              <fill>
                <patternFill>
                  <bgColor rgb="FFFF5050"/>
                </patternFill>
              </fill>
            </x14:dxf>
          </x14:cfRule>
          <xm:sqref>L2:L3</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prompt="Select the type of expense being budgeted." xr:uid="{40AFDCFC-BFA4-4949-82E0-CE8860B24D53}">
          <x14:formula1>
            <xm:f>'START HERE'!$E$20:$E$23</xm:f>
          </x14:formula1>
          <xm:sqref>A45</xm:sqref>
        </x14:dataValidation>
        <x14:dataValidation type="list" allowBlank="1" showInputMessage="1" showErrorMessage="1" prompt="Select the type of employee being budgeted on this line." xr:uid="{5D747B3E-DA9B-444A-AA99-2E443A5A028D}">
          <x14:formula1>
            <xm:f>'START HERE'!$E$15:$E$18</xm:f>
          </x14:formula1>
          <xm:sqref>A23</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63062B385B87F4D8E7DA323C4B74708" ma:contentTypeVersion="19" ma:contentTypeDescription="Create a new document." ma:contentTypeScope="" ma:versionID="86af3c5ec4eb4a6ca3479eca6c0a7213">
  <xsd:schema xmlns:xsd="http://www.w3.org/2001/XMLSchema" xmlns:xs="http://www.w3.org/2001/XMLSchema" xmlns:p="http://schemas.microsoft.com/office/2006/metadata/properties" xmlns:ns1="http://schemas.microsoft.com/sharepoint/v3" xmlns:ns2="9c7942cc-054c-485b-8e91-c668de4106eb" xmlns:ns3="8018e8d6-a24f-4afb-b048-495f3dabf39f" targetNamespace="http://schemas.microsoft.com/office/2006/metadata/properties" ma:root="true" ma:fieldsID="8967d50e2fe8aa422a35d792ea16f4d2" ns1:_="" ns2:_="" ns3:_="">
    <xsd:import namespace="http://schemas.microsoft.com/sharepoint/v3"/>
    <xsd:import namespace="9c7942cc-054c-485b-8e91-c668de4106eb"/>
    <xsd:import namespace="8018e8d6-a24f-4afb-b048-495f3dabf39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3:SharedWithUsers" minOccurs="0"/>
                <xsd:element ref="ns3:SharedWithDetails" minOccurs="0"/>
                <xsd:element ref="ns2:lcf76f155ced4ddcb4097134ff3c332f" minOccurs="0"/>
                <xsd:element ref="ns2:MediaServiceGenerationTime" minOccurs="0"/>
                <xsd:element ref="ns2:MediaServiceEventHashCode" minOccurs="0"/>
                <xsd:element ref="ns2:MediaServiceAutoKeyPoints" minOccurs="0"/>
                <xsd:element ref="ns2:MediaServiceKeyPoints" minOccurs="0"/>
                <xsd:element ref="ns2:MediaServiceOCR" minOccurs="0"/>
                <xsd:element ref="ns2:MediaServiceLocation" minOccurs="0"/>
                <xsd:element ref="ns1:_ip_UnifiedCompliancePolicyProperties" minOccurs="0"/>
                <xsd:element ref="ns1:_ip_UnifiedCompliancePolicyUIAction" minOccurs="0"/>
                <xsd:element ref="ns2:MediaServiceSearchProperties" minOccurs="0"/>
                <xsd:element ref="ns2:MediaServiceObjectDetectorVersion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2" nillable="true" ma:displayName="Unified Compliance Policy Properties" ma:hidden="true" ma:internalName="_ip_UnifiedCompliancePolicyProperties">
      <xsd:simpleType>
        <xsd:restriction base="dms:Note"/>
      </xsd:simpleType>
    </xsd:element>
    <xsd:element name="_ip_UnifiedCompliancePolicyUIAction" ma:index="23"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c7942cc-054c-485b-8e91-c668de4106e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87e689ab-e6c1-495a-909d-6e26ff4bb3b8" ma:termSetId="09814cd3-568e-fe90-9814-8d621ff8fb84" ma:anchorId="fba54fb3-c3e1-fe81-a776-ca4b69148c4d" ma:open="true" ma:isKeyword="false">
      <xsd:complexType>
        <xsd:sequence>
          <xsd:element ref="pc:Terms" minOccurs="0" maxOccurs="1"/>
        </xsd:sequence>
      </xsd:complex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internalName="MediaServiceLocation"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018e8d6-a24f-4afb-b048-495f3dabf39f"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c7942cc-054c-485b-8e91-c668de4106eb">
      <Terms xmlns="http://schemas.microsoft.com/office/infopath/2007/PartnerControls"/>
    </lcf76f155ced4ddcb4097134ff3c332f>
    <_ip_UnifiedCompliancePolicyUIAction xmlns="http://schemas.microsoft.com/sharepoint/v3"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785FD93E-5912-4DDD-84BA-8288F899AA6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9c7942cc-054c-485b-8e91-c668de4106eb"/>
    <ds:schemaRef ds:uri="8018e8d6-a24f-4afb-b048-495f3dabf39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E04B82B-3092-4D21-A8A4-11495330F3FE}">
  <ds:schemaRefs>
    <ds:schemaRef ds:uri="http://schemas.microsoft.com/sharepoint/v3/contenttype/forms"/>
  </ds:schemaRefs>
</ds:datastoreItem>
</file>

<file path=customXml/itemProps3.xml><?xml version="1.0" encoding="utf-8"?>
<ds:datastoreItem xmlns:ds="http://schemas.openxmlformats.org/officeDocument/2006/customXml" ds:itemID="{94D59BDA-5FF3-41CE-BF18-C06E2F1552F7}">
  <ds:schemaRefs>
    <ds:schemaRef ds:uri="http://schemas.microsoft.com/office/2006/metadata/properties"/>
    <ds:schemaRef ds:uri="http://schemas.microsoft.com/office/infopath/2007/PartnerControls"/>
    <ds:schemaRef ds:uri="9c7942cc-054c-485b-8e91-c668de4106eb"/>
    <ds:schemaRef ds:uri="http://schemas.microsoft.com/sharepoint/v3"/>
  </ds:schemaRefs>
</ds:datastoreItem>
</file>

<file path=docMetadata/LabelInfo.xml><?xml version="1.0" encoding="utf-8"?>
<clbl:labelList xmlns:clbl="http://schemas.microsoft.com/office/2020/mipLabelMetadata">
  <clbl:label id="{809929af-2d25-45bf-9837-089eb9cfbd01}" enabled="0" method="" siteId="{809929af-2d25-45bf-9837-089eb9cfbd01}"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START HERE</vt:lpstr>
      <vt:lpstr>Detailed Budget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2000-02-03T21:08:39Z</dcterms:created>
  <dcterms:modified xsi:type="dcterms:W3CDTF">2026-01-21T00:58:17Z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0x010100863062B385B87F4D8E7DA323C4B74708</vt:lpwstr>
  </property>
  <property fmtid="{D5CDD505-2E9C-101B-9397-08002B2CF9AE}" pid="3" name="Order">
    <vt:r8>511400</vt:r8>
  </property>
  <property fmtid="{D5CDD505-2E9C-101B-9397-08002B2CF9AE}" pid="4" name="MediaServiceImageTags">
    <vt:lpwstr/>
  </property>
</Properties>
</file>